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ccolociotti/Desktop/Progetto-Web-scraping/"/>
    </mc:Choice>
  </mc:AlternateContent>
  <xr:revisionPtr revIDLastSave="0" documentId="8_{EC5104F0-2AFA-2F4D-87CB-7689EF8CD0D2}" xr6:coauthVersionLast="47" xr6:coauthVersionMax="47" xr10:uidLastSave="{00000000-0000-0000-0000-000000000000}"/>
  <bookViews>
    <workbookView xWindow="0" yWindow="500" windowWidth="28800" windowHeight="16440" xr2:uid="{08BF237B-C34F-4346-95B6-02E5A4EF7C95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0" i="1" l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<sst xmlns="http://schemas.openxmlformats.org/spreadsheetml/2006/main" count="8680" uniqueCount="4165">
  <si>
    <t>Ragione sociale</t>
  </si>
  <si>
    <t>Partita IVA</t>
  </si>
  <si>
    <t>Codice fiscale</t>
  </si>
  <si>
    <t>BvD ID number</t>
  </si>
  <si>
    <t>ATECO 2007
codice</t>
  </si>
  <si>
    <t>Provincia</t>
  </si>
  <si>
    <t>Indirizzo sede legale - Regione</t>
  </si>
  <si>
    <t>Website</t>
  </si>
  <si>
    <t>Ricavi vendite e prestazioni
migl EUR
Ultimo anno disp.</t>
  </si>
  <si>
    <t>Ricavi vendite e prestazioni
migl EUR
2023</t>
  </si>
  <si>
    <t>Ricavi vendite e prestazioni
migl EUR
2022</t>
  </si>
  <si>
    <t>UTILE/PERDITA DI ESERCIZIO
migl EUR
Ultimo anno disp.</t>
  </si>
  <si>
    <t>UTILE/PERDITA DI ESERCIZIO
migl EUR
2023</t>
  </si>
  <si>
    <t>UTILE/PERDITA DI ESERCIZIO
migl EUR
2022</t>
  </si>
  <si>
    <t>Dipendenti
Ultimo anno disp.</t>
  </si>
  <si>
    <t>Dipendenti
2023</t>
  </si>
  <si>
    <t>Dipendenti
2022</t>
  </si>
  <si>
    <t>2500.</t>
  </si>
  <si>
    <t>PASQUINI S.R.L.</t>
  </si>
  <si>
    <t>01430200467</t>
  </si>
  <si>
    <t>IT01430200467</t>
  </si>
  <si>
    <t>152010</t>
  </si>
  <si>
    <t>Lucca</t>
  </si>
  <si>
    <t>Toscana</t>
  </si>
  <si>
    <t>n.d.</t>
  </si>
  <si>
    <t>2501.</t>
  </si>
  <si>
    <t>CAMICERIA CARUCCI S.R.L.</t>
  </si>
  <si>
    <t>01738900743</t>
  </si>
  <si>
    <t>IT01738900743</t>
  </si>
  <si>
    <t>141000</t>
  </si>
  <si>
    <t>Brindisi</t>
  </si>
  <si>
    <t>Puglia</t>
  </si>
  <si>
    <t>2502.</t>
  </si>
  <si>
    <t>CLUB VOLTAIRE S.R.L.</t>
  </si>
  <si>
    <t>01240910479</t>
  </si>
  <si>
    <t>IT01240910479</t>
  </si>
  <si>
    <t>Pistoia</t>
  </si>
  <si>
    <t>2503.</t>
  </si>
  <si>
    <t>MARTINA LEATHERS S.R.L.</t>
  </si>
  <si>
    <t>03898070242</t>
  </si>
  <si>
    <t>IT03898070242</t>
  </si>
  <si>
    <t>151100</t>
  </si>
  <si>
    <t>Vicenza</t>
  </si>
  <si>
    <t>Veneto</t>
  </si>
  <si>
    <t>2504.</t>
  </si>
  <si>
    <t>PELLETTERIE FOTI - S.R.L. SOCIETA' A SOCIO UNICO</t>
  </si>
  <si>
    <t>06587480481</t>
  </si>
  <si>
    <t>IT06587480481</t>
  </si>
  <si>
    <t>151209</t>
  </si>
  <si>
    <t>Firenze</t>
  </si>
  <si>
    <t>2505.</t>
  </si>
  <si>
    <t>DUECCI SRL</t>
  </si>
  <si>
    <t>02435210444</t>
  </si>
  <si>
    <t>IT02435210444</t>
  </si>
  <si>
    <t>152020</t>
  </si>
  <si>
    <t>Ascoli Piceno</t>
  </si>
  <si>
    <t>Marche</t>
  </si>
  <si>
    <t>2506.</t>
  </si>
  <si>
    <t>CIELLEDUE S.R.L.</t>
  </si>
  <si>
    <t>03571800618</t>
  </si>
  <si>
    <t>IT03571800618</t>
  </si>
  <si>
    <t>Caserta</t>
  </si>
  <si>
    <t>Campania</t>
  </si>
  <si>
    <t>2507.</t>
  </si>
  <si>
    <t>STILSUOLE S.R.L.</t>
  </si>
  <si>
    <t>03800710273</t>
  </si>
  <si>
    <t>IT03800710273</t>
  </si>
  <si>
    <t>Venezia</t>
  </si>
  <si>
    <t>2508.</t>
  </si>
  <si>
    <t>CALZE ANDRE S.R.L.</t>
  </si>
  <si>
    <t>02151410988</t>
  </si>
  <si>
    <t>IT02151410988</t>
  </si>
  <si>
    <t>143100</t>
  </si>
  <si>
    <t>Brescia</t>
  </si>
  <si>
    <t>Lombardia</t>
  </si>
  <si>
    <t>2509.</t>
  </si>
  <si>
    <t>MARINI SILVANO S.R.L.</t>
  </si>
  <si>
    <t>01503470443</t>
  </si>
  <si>
    <t>IT01503470443</t>
  </si>
  <si>
    <t>Fermo</t>
  </si>
  <si>
    <t>2510.</t>
  </si>
  <si>
    <t>NUOVA CARPI SRL</t>
  </si>
  <si>
    <t>01398850188</t>
  </si>
  <si>
    <t>IT01398850188</t>
  </si>
  <si>
    <t>Pavia</t>
  </si>
  <si>
    <t>2511.</t>
  </si>
  <si>
    <t>TACCHIFICIO NUOVA VAL DI CHIENTI SOCIETA' A RESPONSABILITA' LIMITATA (IN SIGLA TACCHIFICIO NUOVA VAL DI CHIENTI S.R.L.)</t>
  </si>
  <si>
    <t>01524460431</t>
  </si>
  <si>
    <t>IT01524460431</t>
  </si>
  <si>
    <t>Macerata</t>
  </si>
  <si>
    <t>2512.</t>
  </si>
  <si>
    <t>VIAMERCANTI - S.R.L.</t>
  </si>
  <si>
    <t>03823440650</t>
  </si>
  <si>
    <t>IT03823440650</t>
  </si>
  <si>
    <t>Salerno</t>
  </si>
  <si>
    <t>2513.</t>
  </si>
  <si>
    <t>A.G.M. S.R.L.</t>
  </si>
  <si>
    <t>06857751215</t>
  </si>
  <si>
    <t>IT06857751215</t>
  </si>
  <si>
    <t>141100</t>
  </si>
  <si>
    <t>Napoli</t>
  </si>
  <si>
    <t>2514.</t>
  </si>
  <si>
    <t>ANGIOLO FRASCONI - S.R.L.</t>
  </si>
  <si>
    <t>03153620483</t>
  </si>
  <si>
    <t>IT03153620483</t>
  </si>
  <si>
    <t>141910</t>
  </si>
  <si>
    <t>2515.</t>
  </si>
  <si>
    <t>GEA CORPORATION S.R.L.</t>
  </si>
  <si>
    <t>09929501212</t>
  </si>
  <si>
    <t>IT09929501212</t>
  </si>
  <si>
    <t>2516.</t>
  </si>
  <si>
    <t>GLOMUS SRL</t>
  </si>
  <si>
    <t>02248980282</t>
  </si>
  <si>
    <t>IT02248980282</t>
  </si>
  <si>
    <t>141310</t>
  </si>
  <si>
    <t>Padova</t>
  </si>
  <si>
    <t>2517.</t>
  </si>
  <si>
    <t>TEA - FABBRICA CALZE ELASTICHE E AFFINI S.R.L. SIGLABILE NEI CASI CONSENTITI DALLA LEGGE TEA S.R.L.</t>
  </si>
  <si>
    <t>04749040012</t>
  </si>
  <si>
    <t>IT04749040012</t>
  </si>
  <si>
    <t>Torino</t>
  </si>
  <si>
    <t>Piemonte</t>
  </si>
  <si>
    <t>2518.</t>
  </si>
  <si>
    <t>CALZATURIFICIO SOCLANI S.R.L.</t>
  </si>
  <si>
    <t>06751221216</t>
  </si>
  <si>
    <t>IT06751221216</t>
  </si>
  <si>
    <t>2519.</t>
  </si>
  <si>
    <t>ITALIAN FLAG S.R.L.</t>
  </si>
  <si>
    <t>04648660266</t>
  </si>
  <si>
    <t>IT04648660266</t>
  </si>
  <si>
    <t>2520.</t>
  </si>
  <si>
    <t>SALENTO CREAZIONI MODA S.R.L.</t>
  </si>
  <si>
    <t>04649910751</t>
  </si>
  <si>
    <t>IT04649910751</t>
  </si>
  <si>
    <t>141320</t>
  </si>
  <si>
    <t>Lecce</t>
  </si>
  <si>
    <t>2521.</t>
  </si>
  <si>
    <t>MESTRINER S.R.L.</t>
  </si>
  <si>
    <t>02436980268</t>
  </si>
  <si>
    <t>IT02436980268</t>
  </si>
  <si>
    <t>Treviso</t>
  </si>
  <si>
    <t>2522.</t>
  </si>
  <si>
    <t>SHIRT &amp; SPORT S.R.L.</t>
  </si>
  <si>
    <t>03728560651</t>
  </si>
  <si>
    <t>IT03728560651</t>
  </si>
  <si>
    <t>2523.</t>
  </si>
  <si>
    <t>ARTE SARTORIALE S.R.L.</t>
  </si>
  <si>
    <t>09089101217</t>
  </si>
  <si>
    <t>IT09089101217</t>
  </si>
  <si>
    <t>141929</t>
  </si>
  <si>
    <t>2524.</t>
  </si>
  <si>
    <t>M.E. S.R.L.</t>
  </si>
  <si>
    <t>06557640486</t>
  </si>
  <si>
    <t>IT06557640486</t>
  </si>
  <si>
    <t>2525.</t>
  </si>
  <si>
    <t>PUNTO VERDE INDUSTRIA CONFEZIONI S.R.L.</t>
  </si>
  <si>
    <t>01143340543</t>
  </si>
  <si>
    <t>IT01143340543</t>
  </si>
  <si>
    <t>Perugia</t>
  </si>
  <si>
    <t>Umbria</t>
  </si>
  <si>
    <t>2526.</t>
  </si>
  <si>
    <t>PENELOPE SRL</t>
  </si>
  <si>
    <t>02114010446</t>
  </si>
  <si>
    <t>IT02114010446</t>
  </si>
  <si>
    <t>2527.</t>
  </si>
  <si>
    <t>PISTONESI SRL</t>
  </si>
  <si>
    <t>02295560441</t>
  </si>
  <si>
    <t>IT02295560441</t>
  </si>
  <si>
    <t>2528.</t>
  </si>
  <si>
    <t>CALZE LUISA S.R.L.</t>
  </si>
  <si>
    <t>02324370986</t>
  </si>
  <si>
    <t>IT02324370986</t>
  </si>
  <si>
    <t>2529.</t>
  </si>
  <si>
    <t>BALLARINI S.R.L.</t>
  </si>
  <si>
    <t>02551420413</t>
  </si>
  <si>
    <t>IT02551420413</t>
  </si>
  <si>
    <t>Pesaro e Urbino</t>
  </si>
  <si>
    <t>2530.</t>
  </si>
  <si>
    <t>CONFEZIONI NADIA S.R.L.</t>
  </si>
  <si>
    <t>04857730289</t>
  </si>
  <si>
    <t>IT04857730289</t>
  </si>
  <si>
    <t>143900</t>
  </si>
  <si>
    <t>2531.</t>
  </si>
  <si>
    <t>ANNIEL S.R.L.</t>
  </si>
  <si>
    <t>04561020266</t>
  </si>
  <si>
    <t>IT04561020266</t>
  </si>
  <si>
    <t>2532.</t>
  </si>
  <si>
    <t>CUT - SOCIETA' A RESPONSABILITA' LIMITATA</t>
  </si>
  <si>
    <t>05891501008</t>
  </si>
  <si>
    <t>IT05891501008</t>
  </si>
  <si>
    <t>Milano</t>
  </si>
  <si>
    <t>2533.</t>
  </si>
  <si>
    <t>PEVERADAMODA S.R.L</t>
  </si>
  <si>
    <t>01835500461</t>
  </si>
  <si>
    <t>IT01835500461</t>
  </si>
  <si>
    <t>2534.</t>
  </si>
  <si>
    <t>ALP SRL</t>
  </si>
  <si>
    <t>01997230444</t>
  </si>
  <si>
    <t>IT01997230444</t>
  </si>
  <si>
    <t>2535.</t>
  </si>
  <si>
    <t>RUBEK S.R.L.</t>
  </si>
  <si>
    <t>01789210430</t>
  </si>
  <si>
    <t>IT01789210430</t>
  </si>
  <si>
    <t>2536.</t>
  </si>
  <si>
    <t>LUCIANO S.R.L.</t>
  </si>
  <si>
    <t>03226380610</t>
  </si>
  <si>
    <t>IT03226380610</t>
  </si>
  <si>
    <t>2537.</t>
  </si>
  <si>
    <t>SOLI GEROLAMO S.R.L.</t>
  </si>
  <si>
    <t>02514050166</t>
  </si>
  <si>
    <t>IT02514050166</t>
  </si>
  <si>
    <t>Bergamo</t>
  </si>
  <si>
    <t>2538.</t>
  </si>
  <si>
    <t>POLISI GROUP S.R.L.</t>
  </si>
  <si>
    <t>05947031216</t>
  </si>
  <si>
    <t>IT05947031216</t>
  </si>
  <si>
    <t>2539.</t>
  </si>
  <si>
    <t>LO SPECCHIO S.R.L.</t>
  </si>
  <si>
    <t>03336700830</t>
  </si>
  <si>
    <t>IT03336700830</t>
  </si>
  <si>
    <t>2540.</t>
  </si>
  <si>
    <t>STILNOVO SRL</t>
  </si>
  <si>
    <t>00180250508</t>
  </si>
  <si>
    <t>IT00180250508</t>
  </si>
  <si>
    <t>Pisa</t>
  </si>
  <si>
    <t>2541.</t>
  </si>
  <si>
    <t>ITALPRODUZIONI - S.R.L.</t>
  </si>
  <si>
    <t>07012690728</t>
  </si>
  <si>
    <t>IT07012690728</t>
  </si>
  <si>
    <t>Bari</t>
  </si>
  <si>
    <t>2542.</t>
  </si>
  <si>
    <t>FASHION STYLE S.R.L.</t>
  </si>
  <si>
    <t>02515380976</t>
  </si>
  <si>
    <t>IT02515380976</t>
  </si>
  <si>
    <t>Prato</t>
  </si>
  <si>
    <t>2543.</t>
  </si>
  <si>
    <t>AVA LEATHER GROUP S.R.L.</t>
  </si>
  <si>
    <t>02571200241</t>
  </si>
  <si>
    <t>IT02571200241</t>
  </si>
  <si>
    <t>2544.</t>
  </si>
  <si>
    <t>CONCERIA GIADA S.P.A</t>
  </si>
  <si>
    <t>00529820243</t>
  </si>
  <si>
    <t>IT00529820243</t>
  </si>
  <si>
    <t>2545.</t>
  </si>
  <si>
    <t>DANSIDANCE SRL</t>
  </si>
  <si>
    <t>01714090196</t>
  </si>
  <si>
    <t>IT01714090196</t>
  </si>
  <si>
    <t>Cremona</t>
  </si>
  <si>
    <t>2546.</t>
  </si>
  <si>
    <t>MANIFATTURE DEL NEVOLA S.R.L.</t>
  </si>
  <si>
    <t>01559480429</t>
  </si>
  <si>
    <t>IT01559480429</t>
  </si>
  <si>
    <t>141300</t>
  </si>
  <si>
    <t>Ancona</t>
  </si>
  <si>
    <t>2547.</t>
  </si>
  <si>
    <t>MELISSA S.R.L.</t>
  </si>
  <si>
    <t>01940180506</t>
  </si>
  <si>
    <t>IT01940180506</t>
  </si>
  <si>
    <t>2548.</t>
  </si>
  <si>
    <t>WE CARE S.R.L.</t>
  </si>
  <si>
    <t>09610841000</t>
  </si>
  <si>
    <t>IT09610841000</t>
  </si>
  <si>
    <t>2549.</t>
  </si>
  <si>
    <t>DANIELA G S.R.L.</t>
  </si>
  <si>
    <t>02054150970</t>
  </si>
  <si>
    <t>IT02054150970</t>
  </si>
  <si>
    <t>2550.</t>
  </si>
  <si>
    <t>STILL 95 - S.R.L.</t>
  </si>
  <si>
    <t>02445000249</t>
  </si>
  <si>
    <t>IT02445000249</t>
  </si>
  <si>
    <t>2551.</t>
  </si>
  <si>
    <t>DICKSON S.R.L.</t>
  </si>
  <si>
    <t>05438280728</t>
  </si>
  <si>
    <t>IT05438280728</t>
  </si>
  <si>
    <t>Barletta-Andria-Trani</t>
  </si>
  <si>
    <t>2552.</t>
  </si>
  <si>
    <t>SMART LAB ITALIA SOCIETA' A RESPONSABILITA' LIMITATA</t>
  </si>
  <si>
    <t>02932520733</t>
  </si>
  <si>
    <t>IT02932520733</t>
  </si>
  <si>
    <t>2553.</t>
  </si>
  <si>
    <t>M.T.M. S.R.L.</t>
  </si>
  <si>
    <t>02482040207</t>
  </si>
  <si>
    <t>IT02482040207</t>
  </si>
  <si>
    <t>Mantova</t>
  </si>
  <si>
    <t>2554.</t>
  </si>
  <si>
    <t>FAUSTO SARI S.R.L.</t>
  </si>
  <si>
    <t>03112680263</t>
  </si>
  <si>
    <t>IT03112680263</t>
  </si>
  <si>
    <t>2555.</t>
  </si>
  <si>
    <t>CO.RI.MA. - S.R.L.</t>
  </si>
  <si>
    <t>01326130125</t>
  </si>
  <si>
    <t>04610860159</t>
  </si>
  <si>
    <t>IT04610860159</t>
  </si>
  <si>
    <t>Varese</t>
  </si>
  <si>
    <t>2556.</t>
  </si>
  <si>
    <t>ORI MODA SRL</t>
  </si>
  <si>
    <t>03887240368</t>
  </si>
  <si>
    <t>IT03887240368</t>
  </si>
  <si>
    <t>Modena</t>
  </si>
  <si>
    <t>Emilia-Romagna</t>
  </si>
  <si>
    <t>2557.</t>
  </si>
  <si>
    <t>NUOVA IMMAGINE S.R.L.</t>
  </si>
  <si>
    <t>02723930182</t>
  </si>
  <si>
    <t>IT02723930182</t>
  </si>
  <si>
    <t>2558.</t>
  </si>
  <si>
    <t>REGINA S.R.L.</t>
  </si>
  <si>
    <t>02607381205</t>
  </si>
  <si>
    <t>IT02607381205</t>
  </si>
  <si>
    <t>Bologna</t>
  </si>
  <si>
    <t>2559.</t>
  </si>
  <si>
    <t>SAMBATI S.R.L.</t>
  </si>
  <si>
    <t>04376710754</t>
  </si>
  <si>
    <t>IT04376710754</t>
  </si>
  <si>
    <t>2560.</t>
  </si>
  <si>
    <t>CONBI MODA S.R.L.</t>
  </si>
  <si>
    <t>03525470286</t>
  </si>
  <si>
    <t>IT03525470286</t>
  </si>
  <si>
    <t>2561.</t>
  </si>
  <si>
    <t>EMME &amp; ERRE SRL</t>
  </si>
  <si>
    <t>04246230249</t>
  </si>
  <si>
    <t>IT04246230249</t>
  </si>
  <si>
    <t>2562.</t>
  </si>
  <si>
    <t>SAFER BABY S.R.L.</t>
  </si>
  <si>
    <t>01334870381</t>
  </si>
  <si>
    <t>IT01334870381</t>
  </si>
  <si>
    <t>143000</t>
  </si>
  <si>
    <t>Ferrara</t>
  </si>
  <si>
    <t>2563.</t>
  </si>
  <si>
    <t>MONTEVERDI S.R.L.</t>
  </si>
  <si>
    <t>03836850481</t>
  </si>
  <si>
    <t>IT03836850481</t>
  </si>
  <si>
    <t>2564.</t>
  </si>
  <si>
    <t>PESPOW S.P.A.</t>
  </si>
  <si>
    <t>03337920262</t>
  </si>
  <si>
    <t>IT03337920262</t>
  </si>
  <si>
    <t>2565.</t>
  </si>
  <si>
    <t>FORESTI S.R.L.</t>
  </si>
  <si>
    <t>01782570160</t>
  </si>
  <si>
    <t>IT01782570160</t>
  </si>
  <si>
    <t>2566.</t>
  </si>
  <si>
    <t>GIANI - S.R.L.</t>
  </si>
  <si>
    <t>04098130489</t>
  </si>
  <si>
    <t>IT04098130489</t>
  </si>
  <si>
    <t>2567.</t>
  </si>
  <si>
    <t>MANIFATTURA CI-ZETA S.R.L.</t>
  </si>
  <si>
    <t>01041310176</t>
  </si>
  <si>
    <t>IT01041310176</t>
  </si>
  <si>
    <t>2568.</t>
  </si>
  <si>
    <t>RG ITALIA S.R.L.</t>
  </si>
  <si>
    <t>01915310476</t>
  </si>
  <si>
    <t>IT01915310476</t>
  </si>
  <si>
    <t>2569.</t>
  </si>
  <si>
    <t>FESSURA ITALIA SRL SOCIETA' BENEFIT OVVERO, IN FORMA ABBREVIATA, FESSURA ITALIA S.R.L. SB O FESSURA ITALIA S.R.L.</t>
  </si>
  <si>
    <t>02178780447</t>
  </si>
  <si>
    <t>IT02178780447</t>
  </si>
  <si>
    <t>2570.</t>
  </si>
  <si>
    <t>D.A.C. S.R.L.</t>
  </si>
  <si>
    <t>03477970754</t>
  </si>
  <si>
    <t>IT03477970754</t>
  </si>
  <si>
    <t>2571.</t>
  </si>
  <si>
    <t>MARESTER STYLE - S.R.L.</t>
  </si>
  <si>
    <t>01027140423</t>
  </si>
  <si>
    <t>IT01027140423</t>
  </si>
  <si>
    <t>2572.</t>
  </si>
  <si>
    <t>CONFEZIONI CAPPELLO S.R.L.</t>
  </si>
  <si>
    <t>07777380960</t>
  </si>
  <si>
    <t>IT07777380960</t>
  </si>
  <si>
    <t>141200</t>
  </si>
  <si>
    <t>2573.</t>
  </si>
  <si>
    <t>CONCERIA MARIO STEFANELLI &amp; FIGLI S.R.L.</t>
  </si>
  <si>
    <t>00652590506</t>
  </si>
  <si>
    <t>IT00652590506</t>
  </si>
  <si>
    <t>2574.</t>
  </si>
  <si>
    <t>LE SOFT S.R.L.</t>
  </si>
  <si>
    <t>04598300723</t>
  </si>
  <si>
    <t>IT04598300723</t>
  </si>
  <si>
    <t>152000</t>
  </si>
  <si>
    <t>2575.</t>
  </si>
  <si>
    <t>ROCCHINI S.R.L.</t>
  </si>
  <si>
    <t>01421460518</t>
  </si>
  <si>
    <t>IT01421460518</t>
  </si>
  <si>
    <t>Arezzo</t>
  </si>
  <si>
    <t>2576.</t>
  </si>
  <si>
    <t>GIL S.R.L.</t>
  </si>
  <si>
    <t>01655140364</t>
  </si>
  <si>
    <t>IT01655140364</t>
  </si>
  <si>
    <t>2577.</t>
  </si>
  <si>
    <t>MAGLIERIE LU-IS S.R.L.</t>
  </si>
  <si>
    <t>03207830542</t>
  </si>
  <si>
    <t>IT03207830542</t>
  </si>
  <si>
    <t>2578.</t>
  </si>
  <si>
    <t>MAGLIFICIO LSM SRL</t>
  </si>
  <si>
    <t>03702490362</t>
  </si>
  <si>
    <t>IT03702490362</t>
  </si>
  <si>
    <t>2579.</t>
  </si>
  <si>
    <t>FABIOLA VINCENTI S.R.L.</t>
  </si>
  <si>
    <t>02509800542</t>
  </si>
  <si>
    <t>IT02509800542</t>
  </si>
  <si>
    <t>2580.</t>
  </si>
  <si>
    <t>CALZATURIFICIO DORIA MARIO SRL</t>
  </si>
  <si>
    <t>00140560434</t>
  </si>
  <si>
    <t>IT00140560434</t>
  </si>
  <si>
    <t>2581.</t>
  </si>
  <si>
    <t>PICCOLA LUDO SRL</t>
  </si>
  <si>
    <t>01936980661</t>
  </si>
  <si>
    <t>IT01936980661</t>
  </si>
  <si>
    <t>L'Aquila</t>
  </si>
  <si>
    <t>Abruzzo</t>
  </si>
  <si>
    <t>2582.</t>
  </si>
  <si>
    <t>L.G. FODERAMI S.R.L.</t>
  </si>
  <si>
    <t>05334531216</t>
  </si>
  <si>
    <t>IT05334531216</t>
  </si>
  <si>
    <t>2583.</t>
  </si>
  <si>
    <t>GASTALDI AUTOMOTIVE S.R.L.</t>
  </si>
  <si>
    <t>03247800042</t>
  </si>
  <si>
    <t>IT03247800042</t>
  </si>
  <si>
    <t>Cuneo</t>
  </si>
  <si>
    <t>2584.</t>
  </si>
  <si>
    <t>TOMAIFICIO SL S.R.L.</t>
  </si>
  <si>
    <t>02286680448</t>
  </si>
  <si>
    <t>IT02286680448</t>
  </si>
  <si>
    <t>2585.</t>
  </si>
  <si>
    <t>NEXT BAG S.R.L.S.</t>
  </si>
  <si>
    <t>06532150486</t>
  </si>
  <si>
    <t>IT06532150486</t>
  </si>
  <si>
    <t>2586.</t>
  </si>
  <si>
    <t>LB FASHION S.R.L.</t>
  </si>
  <si>
    <t>01391700299</t>
  </si>
  <si>
    <t>IT01391700299</t>
  </si>
  <si>
    <t>2587.</t>
  </si>
  <si>
    <t>PELLETTERIE ABL - SOCIETA' A RESPONSABILITA' LIMITATA</t>
  </si>
  <si>
    <t>02421330271</t>
  </si>
  <si>
    <t>IT02421330271</t>
  </si>
  <si>
    <t>2588.</t>
  </si>
  <si>
    <t>LEVANTE S.R.L.</t>
  </si>
  <si>
    <t>01521360675</t>
  </si>
  <si>
    <t>IT01521360675</t>
  </si>
  <si>
    <t>Teramo</t>
  </si>
  <si>
    <t>2589.</t>
  </si>
  <si>
    <t>NIRIS MODA S.R.L. UNIPERSONALE SEMPLIFICATA</t>
  </si>
  <si>
    <t>06514420485</t>
  </si>
  <si>
    <t>IT06514420485</t>
  </si>
  <si>
    <t>2590.</t>
  </si>
  <si>
    <t>STIRERIA LUNA 1 SOCIETA' A RESPONSABILITA' LIMITATA SEMPLIFICATA</t>
  </si>
  <si>
    <t>01923590671</t>
  </si>
  <si>
    <t>IT01923590671</t>
  </si>
  <si>
    <t>2591.</t>
  </si>
  <si>
    <t>EMME CI TEX S.R.L.</t>
  </si>
  <si>
    <t>04278960754</t>
  </si>
  <si>
    <t>IT04278960754</t>
  </si>
  <si>
    <t>2592.</t>
  </si>
  <si>
    <t>CREAZIONI MAIK S.R.L.</t>
  </si>
  <si>
    <t>04376931210</t>
  </si>
  <si>
    <t>IT04376931210</t>
  </si>
  <si>
    <t>2593.</t>
  </si>
  <si>
    <t>G.R.P. S.R.L.</t>
  </si>
  <si>
    <t>01879840971</t>
  </si>
  <si>
    <t>IT01879840971</t>
  </si>
  <si>
    <t>2594.</t>
  </si>
  <si>
    <t>ANDREA BOSSI S.R.L.</t>
  </si>
  <si>
    <t>03186030718</t>
  </si>
  <si>
    <t>IT03186030718</t>
  </si>
  <si>
    <t>141400</t>
  </si>
  <si>
    <t>Foggia</t>
  </si>
  <si>
    <t>2595.</t>
  </si>
  <si>
    <t>CALIMAR S.R.L.</t>
  </si>
  <si>
    <t>00487250441</t>
  </si>
  <si>
    <t>IT00487250441</t>
  </si>
  <si>
    <t>2596.</t>
  </si>
  <si>
    <t>GIRONACCI PELLETTERIE SOCIETA' A RESPONSABILITA' LIMITATA IN BREVE GIRONACCI PELLETTERIE S.R.L.</t>
  </si>
  <si>
    <t>01805200449</t>
  </si>
  <si>
    <t>IT01805200449</t>
  </si>
  <si>
    <t>2597.</t>
  </si>
  <si>
    <t>M.V.M. S.R.L.</t>
  </si>
  <si>
    <t>02393170929</t>
  </si>
  <si>
    <t>IT02393170929</t>
  </si>
  <si>
    <t>Cagliari</t>
  </si>
  <si>
    <t>Sardegna</t>
  </si>
  <si>
    <t>2598.</t>
  </si>
  <si>
    <t>GAMMA 3 S.R.L.</t>
  </si>
  <si>
    <t>01813520978</t>
  </si>
  <si>
    <t>IT01813520978</t>
  </si>
  <si>
    <t>151200</t>
  </si>
  <si>
    <t>2599.</t>
  </si>
  <si>
    <t>ARMENICO SRL</t>
  </si>
  <si>
    <t>04024080246</t>
  </si>
  <si>
    <t>IT04024080246</t>
  </si>
  <si>
    <t>2600.</t>
  </si>
  <si>
    <t>MOON FLOWER S.R.L.</t>
  </si>
  <si>
    <t>05379740631</t>
  </si>
  <si>
    <t>IT05379740631</t>
  </si>
  <si>
    <t>2601.</t>
  </si>
  <si>
    <t>DAMA S.R.L.</t>
  </si>
  <si>
    <t>02297350981</t>
  </si>
  <si>
    <t>IT02297350981</t>
  </si>
  <si>
    <t>2602.</t>
  </si>
  <si>
    <t>MG ETRUSCO S.R.L.</t>
  </si>
  <si>
    <t>05871970488</t>
  </si>
  <si>
    <t>IT05871970488</t>
  </si>
  <si>
    <t>2603.</t>
  </si>
  <si>
    <t>LASER FASHION S.R.L.</t>
  </si>
  <si>
    <t>02398080644</t>
  </si>
  <si>
    <t>IT02398080644</t>
  </si>
  <si>
    <t>Avellino</t>
  </si>
  <si>
    <t>2604.</t>
  </si>
  <si>
    <t>PELLETTERIA PORTONE S.R.L.</t>
  </si>
  <si>
    <t>01801650126</t>
  </si>
  <si>
    <t>IT01801650126</t>
  </si>
  <si>
    <t>2605.</t>
  </si>
  <si>
    <t>STUDIO DESIGN - S.R.L.</t>
  </si>
  <si>
    <t>01836970481</t>
  </si>
  <si>
    <t>IT01836970481</t>
  </si>
  <si>
    <t>2606.</t>
  </si>
  <si>
    <t>DUCANERO S.R.L.</t>
  </si>
  <si>
    <t>01765770431</t>
  </si>
  <si>
    <t>IT01765770431</t>
  </si>
  <si>
    <t>2607.</t>
  </si>
  <si>
    <t>GRUPPO GAMA SRL</t>
  </si>
  <si>
    <t>08311151214</t>
  </si>
  <si>
    <t>IT08311151214</t>
  </si>
  <si>
    <t>2608.</t>
  </si>
  <si>
    <t>ANTHEA S.R.L. A SOCIO UNICO</t>
  </si>
  <si>
    <t>01124160860</t>
  </si>
  <si>
    <t>IT01124160860</t>
  </si>
  <si>
    <t>Enna</t>
  </si>
  <si>
    <t>Sicilia</t>
  </si>
  <si>
    <t>2609.</t>
  </si>
  <si>
    <t>CARGERA S.R.L.</t>
  </si>
  <si>
    <t>00626540249</t>
  </si>
  <si>
    <t>03775290152</t>
  </si>
  <si>
    <t>IT03775290152</t>
  </si>
  <si>
    <t>2610.</t>
  </si>
  <si>
    <t>WIN SOCIETA' A RESPONSABILITA' LIMITATA</t>
  </si>
  <si>
    <t>07951390728</t>
  </si>
  <si>
    <t>IT07951390728</t>
  </si>
  <si>
    <t>2611.</t>
  </si>
  <si>
    <t>MAGLIFICIO CORTESE S.R.L.</t>
  </si>
  <si>
    <t>00874620248</t>
  </si>
  <si>
    <t>IT00874620248</t>
  </si>
  <si>
    <t>2612.</t>
  </si>
  <si>
    <t>MAXIMA SRL</t>
  </si>
  <si>
    <t>10563310159</t>
  </si>
  <si>
    <t>IT10563310159</t>
  </si>
  <si>
    <t>2613.</t>
  </si>
  <si>
    <t>BRANDINA S.R.L.</t>
  </si>
  <si>
    <t>04107010409</t>
  </si>
  <si>
    <t>IT04107010409</t>
  </si>
  <si>
    <t>Rimini</t>
  </si>
  <si>
    <t>2614.</t>
  </si>
  <si>
    <t>AL-AN TRICOT SRL</t>
  </si>
  <si>
    <t>02208650131</t>
  </si>
  <si>
    <t>IT02208650131</t>
  </si>
  <si>
    <t>Como</t>
  </si>
  <si>
    <t>2615.</t>
  </si>
  <si>
    <t>ILSMAN S.R.L.</t>
  </si>
  <si>
    <t>03972920247</t>
  </si>
  <si>
    <t>IT03972920247</t>
  </si>
  <si>
    <t>2616.</t>
  </si>
  <si>
    <t>DULIO ACCESSORI DI DULIO ALBERTO E C. S.R.L.</t>
  </si>
  <si>
    <t>00274450188</t>
  </si>
  <si>
    <t>IT00274450188</t>
  </si>
  <si>
    <t>2617.</t>
  </si>
  <si>
    <t>LUXURY CHILDREN'S WEAR S.R.L.IN FORMA ABBREVIATA LCW S.R.L.</t>
  </si>
  <si>
    <t>08441090969</t>
  </si>
  <si>
    <t>IT08441090969</t>
  </si>
  <si>
    <t>2618.</t>
  </si>
  <si>
    <t>A.CARACENI S.R.L.</t>
  </si>
  <si>
    <t>01216410157</t>
  </si>
  <si>
    <t>IT01216410157</t>
  </si>
  <si>
    <t>2619.</t>
  </si>
  <si>
    <t>VALPEL DI LAMBERTO &amp; UGO MOROZZI S.R.L.</t>
  </si>
  <si>
    <t>00839530474</t>
  </si>
  <si>
    <t>IT00839530474</t>
  </si>
  <si>
    <t>2620.</t>
  </si>
  <si>
    <t>CMA MORETTA SRL</t>
  </si>
  <si>
    <t>03355100128</t>
  </si>
  <si>
    <t>IT03355100128</t>
  </si>
  <si>
    <t>2621.</t>
  </si>
  <si>
    <t>IL PUMA S.R.L.</t>
  </si>
  <si>
    <t>01760230506</t>
  </si>
  <si>
    <t>IT01760230506</t>
  </si>
  <si>
    <t>2622.</t>
  </si>
  <si>
    <t>B.M. S.R.L.</t>
  </si>
  <si>
    <t>00560070203</t>
  </si>
  <si>
    <t>IT00560070203</t>
  </si>
  <si>
    <t>2623.</t>
  </si>
  <si>
    <t>MYCROCLEAN ITALIA S.R.L.</t>
  </si>
  <si>
    <t>03702820964</t>
  </si>
  <si>
    <t>IT03702820964</t>
  </si>
  <si>
    <t>2624.</t>
  </si>
  <si>
    <t>AERRE GROUP S.R.L.</t>
  </si>
  <si>
    <t>09144001212</t>
  </si>
  <si>
    <t>IT09144001212</t>
  </si>
  <si>
    <t>2625.</t>
  </si>
  <si>
    <t>EB FASHION S.R.L.</t>
  </si>
  <si>
    <t>02151240203</t>
  </si>
  <si>
    <t>IT02151240203</t>
  </si>
  <si>
    <t>2626.</t>
  </si>
  <si>
    <t>MAS SRL</t>
  </si>
  <si>
    <t>04098930169</t>
  </si>
  <si>
    <t>IT04098930169</t>
  </si>
  <si>
    <t>2627.</t>
  </si>
  <si>
    <t>MANIFATTURA ITALIANA S.R.L.</t>
  </si>
  <si>
    <t>02221860444</t>
  </si>
  <si>
    <t>IT02221860444</t>
  </si>
  <si>
    <t>2628.</t>
  </si>
  <si>
    <t>DE GROUP S.R.L.</t>
  </si>
  <si>
    <t>06763941215</t>
  </si>
  <si>
    <t>IT06763941215</t>
  </si>
  <si>
    <t>2629.</t>
  </si>
  <si>
    <t>NUOVA VEREGRA SOCIETA' A RESPONSABILITA 'LIMITATA</t>
  </si>
  <si>
    <t>01510970443</t>
  </si>
  <si>
    <t>IT01510970443</t>
  </si>
  <si>
    <t>2630.</t>
  </si>
  <si>
    <t>CSL GROUP S.R.L.</t>
  </si>
  <si>
    <t>06808721218</t>
  </si>
  <si>
    <t>IT06808721218</t>
  </si>
  <si>
    <t>2631.</t>
  </si>
  <si>
    <t>VALERIO GIUNTOLI CORPORATION SRL</t>
  </si>
  <si>
    <t>01798100473</t>
  </si>
  <si>
    <t>IT01798100473</t>
  </si>
  <si>
    <t>2632.</t>
  </si>
  <si>
    <t>FABBRICA 247 S.R.L.</t>
  </si>
  <si>
    <t>01943280675</t>
  </si>
  <si>
    <t>IT01943280675</t>
  </si>
  <si>
    <t>2633.</t>
  </si>
  <si>
    <t>ALBY S.R.L.</t>
  </si>
  <si>
    <t>02045550122</t>
  </si>
  <si>
    <t>IT02045550122</t>
  </si>
  <si>
    <t>2634.</t>
  </si>
  <si>
    <t>CONFEZIONI BUFI S.R.L.</t>
  </si>
  <si>
    <t>03837380728</t>
  </si>
  <si>
    <t>IT03837380728</t>
  </si>
  <si>
    <t>2635.</t>
  </si>
  <si>
    <t>BOSCHINONI S.R.L.</t>
  </si>
  <si>
    <t>03944580244</t>
  </si>
  <si>
    <t>IT03944580244</t>
  </si>
  <si>
    <t>2636.</t>
  </si>
  <si>
    <t>LAB SRL</t>
  </si>
  <si>
    <t>07794140637</t>
  </si>
  <si>
    <t>07411290633</t>
  </si>
  <si>
    <t>IT07411290633</t>
  </si>
  <si>
    <t>2637.</t>
  </si>
  <si>
    <t>NEW IDEAL S.R.L.</t>
  </si>
  <si>
    <t>04005940160</t>
  </si>
  <si>
    <t>IT04005940160</t>
  </si>
  <si>
    <t>2638.</t>
  </si>
  <si>
    <t>COOLEST MODA S.R.L.</t>
  </si>
  <si>
    <t>02496740974</t>
  </si>
  <si>
    <t>IT02496740974</t>
  </si>
  <si>
    <t>2639.</t>
  </si>
  <si>
    <t>CONTESSA ELDA S.R.L.</t>
  </si>
  <si>
    <t>01293450555</t>
  </si>
  <si>
    <t>IT01293450555</t>
  </si>
  <si>
    <t>Terni</t>
  </si>
  <si>
    <t>2640.</t>
  </si>
  <si>
    <t>SPRINT LAB S.R.L.</t>
  </si>
  <si>
    <t>08340811218</t>
  </si>
  <si>
    <t>IT08340811218</t>
  </si>
  <si>
    <t>2641.</t>
  </si>
  <si>
    <t>MAX DI PARMA S.R.L.</t>
  </si>
  <si>
    <t>01934190347</t>
  </si>
  <si>
    <t>IT01934190347</t>
  </si>
  <si>
    <t>Parma</t>
  </si>
  <si>
    <t>2642.</t>
  </si>
  <si>
    <t>LUX S.R.L.</t>
  </si>
  <si>
    <t>03639051204</t>
  </si>
  <si>
    <t>IT03639051204</t>
  </si>
  <si>
    <t>2643.</t>
  </si>
  <si>
    <t>ANTONIA S.R.L.</t>
  </si>
  <si>
    <t>04898100757</t>
  </si>
  <si>
    <t>IT04898100757</t>
  </si>
  <si>
    <t>2644.</t>
  </si>
  <si>
    <t>MAURI SHOES S.R.L.</t>
  </si>
  <si>
    <t>05094780961</t>
  </si>
  <si>
    <t>IT05094780961</t>
  </si>
  <si>
    <t>Monza e della Brianza</t>
  </si>
  <si>
    <t>2645.</t>
  </si>
  <si>
    <t>STAR PLAST SRL</t>
  </si>
  <si>
    <t>02000890448</t>
  </si>
  <si>
    <t>IT02000890448</t>
  </si>
  <si>
    <t>2646.</t>
  </si>
  <si>
    <t>MARIGROUP &amp; CO. S.R.L.</t>
  </si>
  <si>
    <t>01900940501</t>
  </si>
  <si>
    <t>IT01900940501</t>
  </si>
  <si>
    <t>2647.</t>
  </si>
  <si>
    <t>CECILIA BENETTI SRL</t>
  </si>
  <si>
    <t>03719560363</t>
  </si>
  <si>
    <t>IT03719560363</t>
  </si>
  <si>
    <t>2648.</t>
  </si>
  <si>
    <t>EQUIPAGE S.R.L.</t>
  </si>
  <si>
    <t>00550790349</t>
  </si>
  <si>
    <t>IT00550790349</t>
  </si>
  <si>
    <t>2649.</t>
  </si>
  <si>
    <t>MOOVE S.R.L.</t>
  </si>
  <si>
    <t>03230800363</t>
  </si>
  <si>
    <t>IT03230800363</t>
  </si>
  <si>
    <t>2650.</t>
  </si>
  <si>
    <t>F.LLI TALLI - S.R.L.</t>
  </si>
  <si>
    <t>00396650483</t>
  </si>
  <si>
    <t>IT00396650483</t>
  </si>
  <si>
    <t>2651.</t>
  </si>
  <si>
    <t>MAGLIFICIO BRIAN S.R.L.</t>
  </si>
  <si>
    <t>01853670246</t>
  </si>
  <si>
    <t>IT01853670246</t>
  </si>
  <si>
    <t>2652.</t>
  </si>
  <si>
    <t>TOMAIFICIO LIDIS SOCIETA' A RESPONSABILITA' LIMITATA</t>
  </si>
  <si>
    <t>01702440478</t>
  </si>
  <si>
    <t>IT01702440478</t>
  </si>
  <si>
    <t>2653.</t>
  </si>
  <si>
    <t>CONFEZIONI FRAMER S.R.L.</t>
  </si>
  <si>
    <t>02333800395</t>
  </si>
  <si>
    <t>IT02333800395</t>
  </si>
  <si>
    <t>Ravenna</t>
  </si>
  <si>
    <t>2654.</t>
  </si>
  <si>
    <t>CABAN S.R.L.</t>
  </si>
  <si>
    <t>03184110736</t>
  </si>
  <si>
    <t>IT03184110736</t>
  </si>
  <si>
    <t>Taranto</t>
  </si>
  <si>
    <t>2655.</t>
  </si>
  <si>
    <t>CONFEZIONI BIEFFE S.R.L.</t>
  </si>
  <si>
    <t>00251550976</t>
  </si>
  <si>
    <t>01197720483</t>
  </si>
  <si>
    <t>IT01197720483</t>
  </si>
  <si>
    <t>2656.</t>
  </si>
  <si>
    <t>LOIFUR S.R.L.</t>
  </si>
  <si>
    <t>01816070245</t>
  </si>
  <si>
    <t>IT01816070245</t>
  </si>
  <si>
    <t>2657.</t>
  </si>
  <si>
    <t>CONCERIA DANIELA S.R.L.</t>
  </si>
  <si>
    <t>03948180249</t>
  </si>
  <si>
    <t>IT03948180249</t>
  </si>
  <si>
    <t>2658.</t>
  </si>
  <si>
    <t>BRENNA CONFEZIONI S.R.L.</t>
  </si>
  <si>
    <t>03557170135</t>
  </si>
  <si>
    <t>IT03557170135</t>
  </si>
  <si>
    <t>2659.</t>
  </si>
  <si>
    <t>CARBOTTI S.R.L.</t>
  </si>
  <si>
    <t>01076090735</t>
  </si>
  <si>
    <t>IT01076090735</t>
  </si>
  <si>
    <t>2660.</t>
  </si>
  <si>
    <t>SIDNEY S.R.L.</t>
  </si>
  <si>
    <t>02321890986</t>
  </si>
  <si>
    <t>IT02321890986</t>
  </si>
  <si>
    <t>2661.</t>
  </si>
  <si>
    <t>TERRIDA S.R.L.</t>
  </si>
  <si>
    <t>02058000270</t>
  </si>
  <si>
    <t>IT02058000270</t>
  </si>
  <si>
    <t>2662.</t>
  </si>
  <si>
    <t>PALAZZO SARTORIALE S.R.L.</t>
  </si>
  <si>
    <t>03051680738</t>
  </si>
  <si>
    <t>IT03051680738</t>
  </si>
  <si>
    <t>2663.</t>
  </si>
  <si>
    <t>M DESIGN SRL</t>
  </si>
  <si>
    <t>06848880487</t>
  </si>
  <si>
    <t>IT06848880487</t>
  </si>
  <si>
    <t>2664.</t>
  </si>
  <si>
    <t>PRODITAL ITALIA S.R.L.</t>
  </si>
  <si>
    <t>02559350240</t>
  </si>
  <si>
    <t>IT02559350240</t>
  </si>
  <si>
    <t>2665.</t>
  </si>
  <si>
    <t>KALEIDOS MODA S.R.L.</t>
  </si>
  <si>
    <t>01527660474</t>
  </si>
  <si>
    <t>IT01527660474</t>
  </si>
  <si>
    <t>2666.</t>
  </si>
  <si>
    <t>BLITZ S.R.L.</t>
  </si>
  <si>
    <t>04859510655</t>
  </si>
  <si>
    <t>IT04859510655</t>
  </si>
  <si>
    <t>2667.</t>
  </si>
  <si>
    <t>CASHMERE TEAM S.R.L</t>
  </si>
  <si>
    <t>01831360381</t>
  </si>
  <si>
    <t>IT01831360381</t>
  </si>
  <si>
    <t>2668.</t>
  </si>
  <si>
    <t>GRUPPO CALVI S.P.A.</t>
  </si>
  <si>
    <t>06954970635</t>
  </si>
  <si>
    <t>05344580633</t>
  </si>
  <si>
    <t>IT05344580633</t>
  </si>
  <si>
    <t>2669.</t>
  </si>
  <si>
    <t>L'ARIANNA S.R.L.</t>
  </si>
  <si>
    <t>04357491218</t>
  </si>
  <si>
    <t>IT04357491218</t>
  </si>
  <si>
    <t>2670.</t>
  </si>
  <si>
    <t>D.G. DI DI PALMA GENNARO S.R.L.</t>
  </si>
  <si>
    <t>07354071214</t>
  </si>
  <si>
    <t>IT07354071214</t>
  </si>
  <si>
    <t>2671.</t>
  </si>
  <si>
    <t>JB ERRE S.R.L.</t>
  </si>
  <si>
    <t>09776510019</t>
  </si>
  <si>
    <t>IT09776510019</t>
  </si>
  <si>
    <t>2672.</t>
  </si>
  <si>
    <t>YULKIS S.R.L.</t>
  </si>
  <si>
    <t>03451460368</t>
  </si>
  <si>
    <t>IT03451460368</t>
  </si>
  <si>
    <t>2673.</t>
  </si>
  <si>
    <t>MANIFATTURA CECCARELLI S.R.L.</t>
  </si>
  <si>
    <t>04600010401</t>
  </si>
  <si>
    <t>IT04600010401</t>
  </si>
  <si>
    <t>Forlì-Cesena</t>
  </si>
  <si>
    <t>2674.</t>
  </si>
  <si>
    <t>MARANT SOCIETA' A RESPONSABILITA' LIMITATA IN ABBREVIAZIONE MARANT S.R.L.</t>
  </si>
  <si>
    <t>02557240641</t>
  </si>
  <si>
    <t>IT02557240641</t>
  </si>
  <si>
    <t>2675.</t>
  </si>
  <si>
    <t>CAMICERIA MIRA 1.4 S.R.L.</t>
  </si>
  <si>
    <t>07496590725</t>
  </si>
  <si>
    <t>IT07496590725</t>
  </si>
  <si>
    <t>2676.</t>
  </si>
  <si>
    <t>BORDER LINE S.R.L.</t>
  </si>
  <si>
    <t>01913530034</t>
  </si>
  <si>
    <t>IT01913530034</t>
  </si>
  <si>
    <t>Verbano-Cusio-Ossola</t>
  </si>
  <si>
    <t>2677.</t>
  </si>
  <si>
    <t>OSCI PELLAMI S.R.L.</t>
  </si>
  <si>
    <t>04646321218</t>
  </si>
  <si>
    <t>IT04646321218</t>
  </si>
  <si>
    <t>2678.</t>
  </si>
  <si>
    <t>FIMAR SRL</t>
  </si>
  <si>
    <t>08978001215</t>
  </si>
  <si>
    <t>IT08978001215</t>
  </si>
  <si>
    <t>2679.</t>
  </si>
  <si>
    <t>RENZONI ILASIO SOCIETA' A RESPONSABILITA' LIMITATA ENUNCIABILE ANCHE RENZONI ILASIO S.R.L.</t>
  </si>
  <si>
    <t>01887240446</t>
  </si>
  <si>
    <t>IT01887240446</t>
  </si>
  <si>
    <t>2680.</t>
  </si>
  <si>
    <t>EXA SRL</t>
  </si>
  <si>
    <t>01729410447</t>
  </si>
  <si>
    <t>IT01729410447</t>
  </si>
  <si>
    <t>2681.</t>
  </si>
  <si>
    <t>ROBERTO MORELLI S.R.L.</t>
  </si>
  <si>
    <t>02076040449</t>
  </si>
  <si>
    <t>IT02076040449</t>
  </si>
  <si>
    <t>2682.</t>
  </si>
  <si>
    <t>POMME MANIFATTURE S.R.L.</t>
  </si>
  <si>
    <t>00547760678</t>
  </si>
  <si>
    <t>IT00547760678</t>
  </si>
  <si>
    <t>2683.</t>
  </si>
  <si>
    <t>GDS LAB S.R.L.</t>
  </si>
  <si>
    <t>04630180752</t>
  </si>
  <si>
    <t>IT04630180752</t>
  </si>
  <si>
    <t>2684.</t>
  </si>
  <si>
    <t>GIRARDI SRL</t>
  </si>
  <si>
    <t>01752120350</t>
  </si>
  <si>
    <t>IT01752120350</t>
  </si>
  <si>
    <t>Reggio nell'Emilia</t>
  </si>
  <si>
    <t>2685.</t>
  </si>
  <si>
    <t>CONCERIA BERTOLDI AL GIORIO S.R.L.</t>
  </si>
  <si>
    <t>00142130244</t>
  </si>
  <si>
    <t>IT00142130244</t>
  </si>
  <si>
    <t>2686.</t>
  </si>
  <si>
    <t>G &amp; G CONFEZIONI SRL</t>
  </si>
  <si>
    <t>06771480966</t>
  </si>
  <si>
    <t>IT06771480966</t>
  </si>
  <si>
    <t>2687.</t>
  </si>
  <si>
    <t>IN LINE S.R.L.</t>
  </si>
  <si>
    <t>01586920447</t>
  </si>
  <si>
    <t>IT01586920447</t>
  </si>
  <si>
    <t>2688.</t>
  </si>
  <si>
    <t>ARCELLA SRL</t>
  </si>
  <si>
    <t>05003870283</t>
  </si>
  <si>
    <t>IT05003870283</t>
  </si>
  <si>
    <t>142000</t>
  </si>
  <si>
    <t>2689.</t>
  </si>
  <si>
    <t>ALPACA S.R.L.</t>
  </si>
  <si>
    <t>02304610500</t>
  </si>
  <si>
    <t>IT02304610500</t>
  </si>
  <si>
    <t>2690.</t>
  </si>
  <si>
    <t>C.L. CALZATURIFICIO SOCIETA' COOPERATIVA</t>
  </si>
  <si>
    <t>04203940616</t>
  </si>
  <si>
    <t>IT04203940616</t>
  </si>
  <si>
    <t>2691.</t>
  </si>
  <si>
    <t>SABOR SHOES S.R.L.</t>
  </si>
  <si>
    <t>02482460462</t>
  </si>
  <si>
    <t>IT02482460462</t>
  </si>
  <si>
    <t>2692.</t>
  </si>
  <si>
    <t>SUOLIFICIO GALLETTI S.R.L.</t>
  </si>
  <si>
    <t>02292460447</t>
  </si>
  <si>
    <t>IT02292460447</t>
  </si>
  <si>
    <t>2693.</t>
  </si>
  <si>
    <t>PROJECT S.R.L.</t>
  </si>
  <si>
    <t>03527450369</t>
  </si>
  <si>
    <t>IT03527450369</t>
  </si>
  <si>
    <t>2694.</t>
  </si>
  <si>
    <t>EGG S.R.L.</t>
  </si>
  <si>
    <t>01900050434</t>
  </si>
  <si>
    <t>IT01900050434</t>
  </si>
  <si>
    <t>2695.</t>
  </si>
  <si>
    <t>TESSILE SAN FERMO S.R.L.</t>
  </si>
  <si>
    <t>03546060132</t>
  </si>
  <si>
    <t>IT03546060132</t>
  </si>
  <si>
    <t>2696.</t>
  </si>
  <si>
    <t>LABOR SRL</t>
  </si>
  <si>
    <t>00485820500</t>
  </si>
  <si>
    <t>IT00485820500</t>
  </si>
  <si>
    <t>2697.</t>
  </si>
  <si>
    <t>NEW TERCONF S.R.L.</t>
  </si>
  <si>
    <t>01576300675</t>
  </si>
  <si>
    <t>IT01576300675</t>
  </si>
  <si>
    <t>2698.</t>
  </si>
  <si>
    <t>MAF SRL</t>
  </si>
  <si>
    <t>01746110442</t>
  </si>
  <si>
    <t>IT01746110442</t>
  </si>
  <si>
    <t>2699.</t>
  </si>
  <si>
    <t>CONFEZIONI KATY S.R.L.</t>
  </si>
  <si>
    <t>00326860194</t>
  </si>
  <si>
    <t>IT00326860194</t>
  </si>
  <si>
    <t>2700.</t>
  </si>
  <si>
    <t>ITALKIDS SRL</t>
  </si>
  <si>
    <t>07729900725</t>
  </si>
  <si>
    <t>IT07729900725</t>
  </si>
  <si>
    <t>2701.</t>
  </si>
  <si>
    <t>DALMUT S.R.L.</t>
  </si>
  <si>
    <t>02436110742</t>
  </si>
  <si>
    <t>IT02436110742</t>
  </si>
  <si>
    <t>2702.</t>
  </si>
  <si>
    <t>SFERA S.R.L.</t>
  </si>
  <si>
    <t>03764540369</t>
  </si>
  <si>
    <t>IT03764540369</t>
  </si>
  <si>
    <t>2703.</t>
  </si>
  <si>
    <t>ALTILE SOCIETA' A RESPONSABILITA' LIMITATA</t>
  </si>
  <si>
    <t>00321610420</t>
  </si>
  <si>
    <t>IT00321610420</t>
  </si>
  <si>
    <t>2704.</t>
  </si>
  <si>
    <t>ACQUASARTA S.R.L.</t>
  </si>
  <si>
    <t>03568290542</t>
  </si>
  <si>
    <t>IT03568290542</t>
  </si>
  <si>
    <t>2705.</t>
  </si>
  <si>
    <t>EVER S.R.L.</t>
  </si>
  <si>
    <t>02135160972</t>
  </si>
  <si>
    <t>IT02135160972</t>
  </si>
  <si>
    <t>2706.</t>
  </si>
  <si>
    <t>ENNE VU S.R.L.</t>
  </si>
  <si>
    <t>00626241202</t>
  </si>
  <si>
    <t>03489250377</t>
  </si>
  <si>
    <t>IT03489250377</t>
  </si>
  <si>
    <t>2707.</t>
  </si>
  <si>
    <t>ALDO CASTAGNA S.R.L.</t>
  </si>
  <si>
    <t>04004421212</t>
  </si>
  <si>
    <t>07402000637</t>
  </si>
  <si>
    <t>IT07402000637</t>
  </si>
  <si>
    <t>2708.</t>
  </si>
  <si>
    <t>GROUP ITALIA S.R.L.</t>
  </si>
  <si>
    <t>02073070688</t>
  </si>
  <si>
    <t>IT02073070688</t>
  </si>
  <si>
    <t>Pescara</t>
  </si>
  <si>
    <t>2709.</t>
  </si>
  <si>
    <t>CONFEZIONI MANUELA S.R.L.</t>
  </si>
  <si>
    <t>01123130476</t>
  </si>
  <si>
    <t>IT01123130476</t>
  </si>
  <si>
    <t>2710.</t>
  </si>
  <si>
    <t>FAVRE S.R.L.</t>
  </si>
  <si>
    <t>05960830015</t>
  </si>
  <si>
    <t>IT05960830015</t>
  </si>
  <si>
    <t>2711.</t>
  </si>
  <si>
    <t>CONSULT LINE S.R.L.</t>
  </si>
  <si>
    <t>01728280262</t>
  </si>
  <si>
    <t>IT01728280262</t>
  </si>
  <si>
    <t>2712.</t>
  </si>
  <si>
    <t>PELLETTERIA 2 A S.R.L.</t>
  </si>
  <si>
    <t>06575710485</t>
  </si>
  <si>
    <t>IT06575710485</t>
  </si>
  <si>
    <t>2713.</t>
  </si>
  <si>
    <t>CALZATURIFICIO ROMANO MARTEGANI S.R.L.</t>
  </si>
  <si>
    <t>00196340129</t>
  </si>
  <si>
    <t>IT00196340129</t>
  </si>
  <si>
    <t>2714.</t>
  </si>
  <si>
    <t>START SRL</t>
  </si>
  <si>
    <t>02236470502</t>
  </si>
  <si>
    <t>IT02236470502</t>
  </si>
  <si>
    <t>2715.</t>
  </si>
  <si>
    <t>DDG GROUP S.R.L.</t>
  </si>
  <si>
    <t>06328240483</t>
  </si>
  <si>
    <t>IT06328240483</t>
  </si>
  <si>
    <t>2716.</t>
  </si>
  <si>
    <t>FASHION MARKET S.R.L.</t>
  </si>
  <si>
    <t>01836380434</t>
  </si>
  <si>
    <t>IT01836380434</t>
  </si>
  <si>
    <t>2717.</t>
  </si>
  <si>
    <t>CO.PE.CA. S.R.L.</t>
  </si>
  <si>
    <t>06145421217</t>
  </si>
  <si>
    <t>IT06145421217</t>
  </si>
  <si>
    <t>2718.</t>
  </si>
  <si>
    <t>S.L.K. VERDECCHIA S.R.L.</t>
  </si>
  <si>
    <t>01083860435</t>
  </si>
  <si>
    <t>IT01083860435</t>
  </si>
  <si>
    <t>2719.</t>
  </si>
  <si>
    <t>M2 S.R.L.</t>
  </si>
  <si>
    <t>03680290966</t>
  </si>
  <si>
    <t>IT03680290966</t>
  </si>
  <si>
    <t>2720.</t>
  </si>
  <si>
    <t>SERVICEMODA S.R.L.</t>
  </si>
  <si>
    <t>06927740966</t>
  </si>
  <si>
    <t>IT06927740966</t>
  </si>
  <si>
    <t>2721.</t>
  </si>
  <si>
    <t>ITALSUOLE SRL</t>
  </si>
  <si>
    <t>07140530630</t>
  </si>
  <si>
    <t>06993030631</t>
  </si>
  <si>
    <t>IT06993030631</t>
  </si>
  <si>
    <t>2722.</t>
  </si>
  <si>
    <t>PREZIOSO GROUP S.R.L.</t>
  </si>
  <si>
    <t>08138791218</t>
  </si>
  <si>
    <t>IT08138791218</t>
  </si>
  <si>
    <t>2723.</t>
  </si>
  <si>
    <t>MAGLIA CLUB S.R.L.</t>
  </si>
  <si>
    <t>00690960190</t>
  </si>
  <si>
    <t>IT00690960190</t>
  </si>
  <si>
    <t>2724.</t>
  </si>
  <si>
    <t>AMARYNTH S.R.L.</t>
  </si>
  <si>
    <t>03512450366</t>
  </si>
  <si>
    <t>IT03512450366</t>
  </si>
  <si>
    <t>2725.</t>
  </si>
  <si>
    <t>CAMPLIN S.R.L.</t>
  </si>
  <si>
    <t>04456650235</t>
  </si>
  <si>
    <t>IT04456650235</t>
  </si>
  <si>
    <t>Verona</t>
  </si>
  <si>
    <t>2726.</t>
  </si>
  <si>
    <t>ELLE S.R.L.</t>
  </si>
  <si>
    <t>03943150163</t>
  </si>
  <si>
    <t>IT03943150163</t>
  </si>
  <si>
    <t>2727.</t>
  </si>
  <si>
    <t>ITALIANA SPORT S.R.L.</t>
  </si>
  <si>
    <t>01230910687</t>
  </si>
  <si>
    <t>IT01230910687</t>
  </si>
  <si>
    <t>2728.</t>
  </si>
  <si>
    <t>CAMICERIA VALERY S.R.L.</t>
  </si>
  <si>
    <t>01344141211</t>
  </si>
  <si>
    <t>04594810634</t>
  </si>
  <si>
    <t>IT04594810634</t>
  </si>
  <si>
    <t>2729.</t>
  </si>
  <si>
    <t>PALMADORO SRL</t>
  </si>
  <si>
    <t>03071830123</t>
  </si>
  <si>
    <t>IT03071830123</t>
  </si>
  <si>
    <t>2730.</t>
  </si>
  <si>
    <t>FRADA S.R.L.</t>
  </si>
  <si>
    <t>03216840268</t>
  </si>
  <si>
    <t>IT03216840268</t>
  </si>
  <si>
    <t>2731.</t>
  </si>
  <si>
    <t>IL TRIFOGLIO S.R.L. .</t>
  </si>
  <si>
    <t>01522060233</t>
  </si>
  <si>
    <t>IT01522060233</t>
  </si>
  <si>
    <t>2732.</t>
  </si>
  <si>
    <t>EUROPEAN COMFORT S.R.L.</t>
  </si>
  <si>
    <t>03887590234</t>
  </si>
  <si>
    <t>IT03887590234</t>
  </si>
  <si>
    <t>2733.</t>
  </si>
  <si>
    <t>VETTA SRL</t>
  </si>
  <si>
    <t>03960150245</t>
  </si>
  <si>
    <t>IT03960150245</t>
  </si>
  <si>
    <t>2734.</t>
  </si>
  <si>
    <t>TABULA RASA S.R.L.</t>
  </si>
  <si>
    <t>01718990367</t>
  </si>
  <si>
    <t>IT01718990367</t>
  </si>
  <si>
    <t>2735.</t>
  </si>
  <si>
    <t>DESTRO DIFFUSIONE S.R.L.</t>
  </si>
  <si>
    <t>02461210284</t>
  </si>
  <si>
    <t>IT02461210284</t>
  </si>
  <si>
    <t>2736.</t>
  </si>
  <si>
    <t>PELLETTERIA Z3 SRL</t>
  </si>
  <si>
    <t>13177730150</t>
  </si>
  <si>
    <t>IT13177730150</t>
  </si>
  <si>
    <t>2737.</t>
  </si>
  <si>
    <t>CALZATURIFICIO RI.ST. S.R.L. UNIPERSONALE</t>
  </si>
  <si>
    <t>01841220443</t>
  </si>
  <si>
    <t>IT01841220443</t>
  </si>
  <si>
    <t>2738.</t>
  </si>
  <si>
    <t>PRES S.R.L.</t>
  </si>
  <si>
    <t>01478870445</t>
  </si>
  <si>
    <t>IT01478870445</t>
  </si>
  <si>
    <t>2739.</t>
  </si>
  <si>
    <t>SUOLIFICIO G.L. S.R.L.</t>
  </si>
  <si>
    <t>01604350445</t>
  </si>
  <si>
    <t>IT01604350445</t>
  </si>
  <si>
    <t>2740.</t>
  </si>
  <si>
    <t>CONFEZIONI GRAZIA S.R.L.</t>
  </si>
  <si>
    <t>00683370191</t>
  </si>
  <si>
    <t>IT00683370191</t>
  </si>
  <si>
    <t>2741.</t>
  </si>
  <si>
    <t>PARAHSOL S.R.L.</t>
  </si>
  <si>
    <t>03056780590</t>
  </si>
  <si>
    <t>IT03056780590</t>
  </si>
  <si>
    <t>2742.</t>
  </si>
  <si>
    <t>LGN ITALIA S.R.L.</t>
  </si>
  <si>
    <t>02345300442</t>
  </si>
  <si>
    <t>IT02345300442</t>
  </si>
  <si>
    <t>2743.</t>
  </si>
  <si>
    <t>FRAGOMENI GROUP S.R.L.</t>
  </si>
  <si>
    <t>04753910282</t>
  </si>
  <si>
    <t>IT04753910282</t>
  </si>
  <si>
    <t>2744.</t>
  </si>
  <si>
    <t>BASIC S.R.L.</t>
  </si>
  <si>
    <t>03929100612</t>
  </si>
  <si>
    <t>IT03929100612</t>
  </si>
  <si>
    <t>2745.</t>
  </si>
  <si>
    <t>CONCERIA ITALPELLI S.R.L.</t>
  </si>
  <si>
    <t>02772810640</t>
  </si>
  <si>
    <t>IT02772810640</t>
  </si>
  <si>
    <t>2746.</t>
  </si>
  <si>
    <t>CALZATURIFICIO OSCAR SPORT S.R.L</t>
  </si>
  <si>
    <t>04316980269</t>
  </si>
  <si>
    <t>IT04316980269</t>
  </si>
  <si>
    <t>2747.</t>
  </si>
  <si>
    <t>C3 GROUP SRL</t>
  </si>
  <si>
    <t>01138140445</t>
  </si>
  <si>
    <t>IT01138140445</t>
  </si>
  <si>
    <t>2748.</t>
  </si>
  <si>
    <t>ASCOT S.P.A.</t>
  </si>
  <si>
    <t>00707110508</t>
  </si>
  <si>
    <t>IT00707110508</t>
  </si>
  <si>
    <t>2749.</t>
  </si>
  <si>
    <t>ALEVI' SRL</t>
  </si>
  <si>
    <t>04351360401</t>
  </si>
  <si>
    <t>IT04351360401</t>
  </si>
  <si>
    <t>2750.</t>
  </si>
  <si>
    <t>SEVEN PELLETTERIA S.R.L.</t>
  </si>
  <si>
    <t>08114251211</t>
  </si>
  <si>
    <t>IT08114251211</t>
  </si>
  <si>
    <t>2751.</t>
  </si>
  <si>
    <t>RGS DIFFUSION S.R.L.</t>
  </si>
  <si>
    <t>07367580011</t>
  </si>
  <si>
    <t>IT07367580011</t>
  </si>
  <si>
    <t>2752.</t>
  </si>
  <si>
    <t>BRANDING PRO S.R.L.</t>
  </si>
  <si>
    <t>04164020242</t>
  </si>
  <si>
    <t>IT04164020242</t>
  </si>
  <si>
    <t>2753.</t>
  </si>
  <si>
    <t>MAG MODA NEW S.R.L.</t>
  </si>
  <si>
    <t>08804400151</t>
  </si>
  <si>
    <t>IT08804400151</t>
  </si>
  <si>
    <t>2754.</t>
  </si>
  <si>
    <t>MONSIGNOR S.R.L.</t>
  </si>
  <si>
    <t>02170750604</t>
  </si>
  <si>
    <t>IT02170750604</t>
  </si>
  <si>
    <t>Frosinone</t>
  </si>
  <si>
    <t>Lazio</t>
  </si>
  <si>
    <t>2755.</t>
  </si>
  <si>
    <t>EMPRESS SRL UNIPERSONALE</t>
  </si>
  <si>
    <t>02472800354</t>
  </si>
  <si>
    <t>IT02472800354</t>
  </si>
  <si>
    <t>2756.</t>
  </si>
  <si>
    <t>DELFINO S.R.L.</t>
  </si>
  <si>
    <t>02612410353</t>
  </si>
  <si>
    <t>IT02612410353</t>
  </si>
  <si>
    <t>2757.</t>
  </si>
  <si>
    <t>BOTTEGA DEL CUOIO S.R.L.</t>
  </si>
  <si>
    <t>08232611213</t>
  </si>
  <si>
    <t>IT08232611213</t>
  </si>
  <si>
    <t>2758.</t>
  </si>
  <si>
    <t>NOVES S.R.L.</t>
  </si>
  <si>
    <t>00430910505</t>
  </si>
  <si>
    <t>IT00430910505</t>
  </si>
  <si>
    <t>2759.</t>
  </si>
  <si>
    <t>SIMPLE MEN S.R.L.</t>
  </si>
  <si>
    <t>04547450611</t>
  </si>
  <si>
    <t>IT04547450611</t>
  </si>
  <si>
    <t>2760.</t>
  </si>
  <si>
    <t>ARCHETIPO S.R.L.</t>
  </si>
  <si>
    <t>01745980308</t>
  </si>
  <si>
    <t>IT01745980308</t>
  </si>
  <si>
    <t>Udine</t>
  </si>
  <si>
    <t>Friuli-Venezia Giulia</t>
  </si>
  <si>
    <t>2761.</t>
  </si>
  <si>
    <t>SPACCATRICE PIAVE S.R.L.</t>
  </si>
  <si>
    <t>00709520506</t>
  </si>
  <si>
    <t>IT00709520506</t>
  </si>
  <si>
    <t>2762.</t>
  </si>
  <si>
    <t>AGNENSE MANIFATTURA S.R.L.</t>
  </si>
  <si>
    <t>03403550282</t>
  </si>
  <si>
    <t>02915120279</t>
  </si>
  <si>
    <t>IT02915120279</t>
  </si>
  <si>
    <t>2763.</t>
  </si>
  <si>
    <t>FREGI S.R.L</t>
  </si>
  <si>
    <t>05331821214</t>
  </si>
  <si>
    <t>IT05331821214</t>
  </si>
  <si>
    <t>2764.</t>
  </si>
  <si>
    <t>VENTUNOZERONOVE S.R.L.</t>
  </si>
  <si>
    <t>03284040734</t>
  </si>
  <si>
    <t>IT03284040734</t>
  </si>
  <si>
    <t>2765.</t>
  </si>
  <si>
    <t>MAKE IN ITALY S.R.L.</t>
  </si>
  <si>
    <t>04811080268</t>
  </si>
  <si>
    <t>IT04811080268</t>
  </si>
  <si>
    <t>2766.</t>
  </si>
  <si>
    <t>CORLAB S.R.L.</t>
  </si>
  <si>
    <t>02319040974</t>
  </si>
  <si>
    <t>IT02319040974</t>
  </si>
  <si>
    <t>2767.</t>
  </si>
  <si>
    <t>FOCUS PULL - S.R.L.</t>
  </si>
  <si>
    <t>03618010379</t>
  </si>
  <si>
    <t>IT03618010379</t>
  </si>
  <si>
    <t>2768.</t>
  </si>
  <si>
    <t>SINDI SRL</t>
  </si>
  <si>
    <t>02434370967</t>
  </si>
  <si>
    <t>IT02434370967</t>
  </si>
  <si>
    <t>2769.</t>
  </si>
  <si>
    <t>SANDROROSSI SRL</t>
  </si>
  <si>
    <t>01447670439</t>
  </si>
  <si>
    <t>IT01447670439</t>
  </si>
  <si>
    <t>2770.</t>
  </si>
  <si>
    <t>CALZATURIFICIO RINASCITA S.R.L.</t>
  </si>
  <si>
    <t>00191220698</t>
  </si>
  <si>
    <t>IT00191220698</t>
  </si>
  <si>
    <t>Chieti</t>
  </si>
  <si>
    <t>2771.</t>
  </si>
  <si>
    <t>ER.CAN S.R.L.</t>
  </si>
  <si>
    <t>00881570436</t>
  </si>
  <si>
    <t>IT00881570436</t>
  </si>
  <si>
    <t>2772.</t>
  </si>
  <si>
    <t>FUTURA UNIFORM - SOCIETA A RESPONSABILITA LIMITATA</t>
  </si>
  <si>
    <t>01593481003</t>
  </si>
  <si>
    <t>06672970586</t>
  </si>
  <si>
    <t>IT06672970586</t>
  </si>
  <si>
    <t>Roma</t>
  </si>
  <si>
    <t>2773.</t>
  </si>
  <si>
    <t>MAURO GOVERNA S.R.L.</t>
  </si>
  <si>
    <t>01501520348</t>
  </si>
  <si>
    <t>IT01501520348</t>
  </si>
  <si>
    <t>2774.</t>
  </si>
  <si>
    <t>MAGLIFICIO HENRI - S.P.A.</t>
  </si>
  <si>
    <t>01214630129</t>
  </si>
  <si>
    <t>IT01214630129</t>
  </si>
  <si>
    <t>2775.</t>
  </si>
  <si>
    <t>MAR SPORT S.R.L.</t>
  </si>
  <si>
    <t>02297650448</t>
  </si>
  <si>
    <t>IT02297650448</t>
  </si>
  <si>
    <t>2776.</t>
  </si>
  <si>
    <t>APACHE FACTORY SRL</t>
  </si>
  <si>
    <t>04514910274</t>
  </si>
  <si>
    <t>IT04514910274</t>
  </si>
  <si>
    <t>2777.</t>
  </si>
  <si>
    <t>D'INZILLO SWEET MODE-SOCIETA A RESPONSABILITA LIMITATA</t>
  </si>
  <si>
    <t>04003191006</t>
  </si>
  <si>
    <t>IT04003191006</t>
  </si>
  <si>
    <t>2778.</t>
  </si>
  <si>
    <t>RIALTO 48 S.R.L.</t>
  </si>
  <si>
    <t>02314020229</t>
  </si>
  <si>
    <t>IT02314020229</t>
  </si>
  <si>
    <t>Trento</t>
  </si>
  <si>
    <t>Trentino-Alto Adige/Südtirol</t>
  </si>
  <si>
    <t>2779.</t>
  </si>
  <si>
    <t>NAPOLETANO SOCIETA' A RESPONSABILITA' LIMITATA</t>
  </si>
  <si>
    <t>08139470721</t>
  </si>
  <si>
    <t>IT08139470721</t>
  </si>
  <si>
    <t>2780.</t>
  </si>
  <si>
    <t>SOLDA' S.R.L.</t>
  </si>
  <si>
    <t>01775780248</t>
  </si>
  <si>
    <t>IT01775780248</t>
  </si>
  <si>
    <t>2781.</t>
  </si>
  <si>
    <t>DBC SOCIETA' A RESPONSABILITA' LIMITATA</t>
  </si>
  <si>
    <t>07670640726</t>
  </si>
  <si>
    <t>IT07670640726</t>
  </si>
  <si>
    <t>2782.</t>
  </si>
  <si>
    <t>FUSTELLIFICIO SCALIGERO VENETO S.R.L.</t>
  </si>
  <si>
    <t>00977720234</t>
  </si>
  <si>
    <t>IT00977720234</t>
  </si>
  <si>
    <t>2783.</t>
  </si>
  <si>
    <t>LUZZI S.R.L.</t>
  </si>
  <si>
    <t>01178040513</t>
  </si>
  <si>
    <t>IT01178040513</t>
  </si>
  <si>
    <t>2784.</t>
  </si>
  <si>
    <t>BELLA SHOES SRL</t>
  </si>
  <si>
    <t>02219330442</t>
  </si>
  <si>
    <t>IT02219330442</t>
  </si>
  <si>
    <t>2785.</t>
  </si>
  <si>
    <t>TACCHIFICIO CRISTINA S.R.L.</t>
  </si>
  <si>
    <t>03922220284</t>
  </si>
  <si>
    <t>IT03922220284</t>
  </si>
  <si>
    <t>2786.</t>
  </si>
  <si>
    <t>EXTREME WINTER EQUIPMENT S.R.L.</t>
  </si>
  <si>
    <t>02037410202</t>
  </si>
  <si>
    <t>IT02037410202</t>
  </si>
  <si>
    <t>2787.</t>
  </si>
  <si>
    <t>FLEA FASHION HUB SRL</t>
  </si>
  <si>
    <t>02373450440</t>
  </si>
  <si>
    <t>IT02373450440</t>
  </si>
  <si>
    <t>2788.</t>
  </si>
  <si>
    <t>PELLETTIERI DI PARMA S.R.L.</t>
  </si>
  <si>
    <t>03227800988</t>
  </si>
  <si>
    <t>IT03227800988</t>
  </si>
  <si>
    <t>2789.</t>
  </si>
  <si>
    <t>ENZO BONAFE' S.R.L.</t>
  </si>
  <si>
    <t>02503291201</t>
  </si>
  <si>
    <t>IT02503291201</t>
  </si>
  <si>
    <t>2790.</t>
  </si>
  <si>
    <t>SAGESTER S.R.L.</t>
  </si>
  <si>
    <t>03433300245</t>
  </si>
  <si>
    <t>IT03433300245</t>
  </si>
  <si>
    <t>2791.</t>
  </si>
  <si>
    <t>CALZATURIFICIO CIASCHI S.R.L.</t>
  </si>
  <si>
    <t>04503290480</t>
  </si>
  <si>
    <t>IT04503290480</t>
  </si>
  <si>
    <t>2792.</t>
  </si>
  <si>
    <t>MANCINI ANGELO S.R.L.</t>
  </si>
  <si>
    <t>01994410502</t>
  </si>
  <si>
    <t>IT01994410502</t>
  </si>
  <si>
    <t>2793.</t>
  </si>
  <si>
    <t>MARLENE S.R.L.</t>
  </si>
  <si>
    <t>03476380724</t>
  </si>
  <si>
    <t>IT03476380724</t>
  </si>
  <si>
    <t>2794.</t>
  </si>
  <si>
    <t>SOLETTIFICIO TERRY S.R.L.</t>
  </si>
  <si>
    <t>00405470444</t>
  </si>
  <si>
    <t>IT00405470444</t>
  </si>
  <si>
    <t>2795.</t>
  </si>
  <si>
    <t>CALZATURIFICIO MUSELLA S.R.L.</t>
  </si>
  <si>
    <t>05965951212</t>
  </si>
  <si>
    <t>IT05965951212</t>
  </si>
  <si>
    <t>2796.</t>
  </si>
  <si>
    <t>KNIT KNIT SRL</t>
  </si>
  <si>
    <t>03964640985</t>
  </si>
  <si>
    <t>IT03964640985</t>
  </si>
  <si>
    <t>2797.</t>
  </si>
  <si>
    <t>TASSI VANIS SRL</t>
  </si>
  <si>
    <t>03894230360</t>
  </si>
  <si>
    <t>IT03894230360</t>
  </si>
  <si>
    <t>2798.</t>
  </si>
  <si>
    <t>NEW ITALIA SHOES S.R.L.</t>
  </si>
  <si>
    <t>02503100261</t>
  </si>
  <si>
    <t>IT02503100261</t>
  </si>
  <si>
    <t>2799.</t>
  </si>
  <si>
    <t>PUBLIARTEX SOCIETA' A RESPONSABILITA' LIMITATA CHE POTRA' ESSERE ANCHE ABBREVIATA IN PUBLIARTEX S.R.L.</t>
  </si>
  <si>
    <t>01796370466</t>
  </si>
  <si>
    <t>IT01796370466</t>
  </si>
  <si>
    <t>2800.</t>
  </si>
  <si>
    <t>FERRADINI BRUNO S.R.L.</t>
  </si>
  <si>
    <t>00827460502</t>
  </si>
  <si>
    <t>IT00827460502</t>
  </si>
  <si>
    <t>2801.</t>
  </si>
  <si>
    <t>BRUSH SPORTWEAR S.R.L.</t>
  </si>
  <si>
    <t>00497810267</t>
  </si>
  <si>
    <t>IT00497810267</t>
  </si>
  <si>
    <t>2802.</t>
  </si>
  <si>
    <t>S &amp; M GROUP S.R.L.</t>
  </si>
  <si>
    <t>02710420361</t>
  </si>
  <si>
    <t>IT02710420361</t>
  </si>
  <si>
    <t>2803.</t>
  </si>
  <si>
    <t>CONCERIA GHEPARDO S.R.L.</t>
  </si>
  <si>
    <t>00870480506</t>
  </si>
  <si>
    <t>IT00870480506</t>
  </si>
  <si>
    <t>2804.</t>
  </si>
  <si>
    <t>MANIFATTURE VIGNOLA S.R.L.</t>
  </si>
  <si>
    <t>00293780540</t>
  </si>
  <si>
    <t>IT00293780540</t>
  </si>
  <si>
    <t>2805.</t>
  </si>
  <si>
    <t>JEANS BOX SRL</t>
  </si>
  <si>
    <t>01894050671</t>
  </si>
  <si>
    <t>IT01894050671</t>
  </si>
  <si>
    <t>2806.</t>
  </si>
  <si>
    <t>STUDIO TESSILE SOCIETA' A RESPONSABILITA' LIMITATA IN SIGLA STUDIO TESSILE S.R.L.</t>
  </si>
  <si>
    <t>06136940720</t>
  </si>
  <si>
    <t>IT06136940720</t>
  </si>
  <si>
    <t>2807.</t>
  </si>
  <si>
    <t>DEPIAN PEL S.R.L.</t>
  </si>
  <si>
    <t>02769040649</t>
  </si>
  <si>
    <t>IT02769040649</t>
  </si>
  <si>
    <t>2808.</t>
  </si>
  <si>
    <t>OMMY S.R.L.</t>
  </si>
  <si>
    <t>02334610413</t>
  </si>
  <si>
    <t>IT02334610413</t>
  </si>
  <si>
    <t>2809.</t>
  </si>
  <si>
    <t>LAURA URBINATI S.R.L.</t>
  </si>
  <si>
    <t>12746750152</t>
  </si>
  <si>
    <t>IT12746750152</t>
  </si>
  <si>
    <t>2810.</t>
  </si>
  <si>
    <t>VIVALDI - S.R.L.</t>
  </si>
  <si>
    <t>04967281009</t>
  </si>
  <si>
    <t>IT04967281009</t>
  </si>
  <si>
    <t>2811.</t>
  </si>
  <si>
    <t>VIBEN SRL</t>
  </si>
  <si>
    <t>00296130651</t>
  </si>
  <si>
    <t>IT00296130651</t>
  </si>
  <si>
    <t>2812.</t>
  </si>
  <si>
    <t>PACE S.R.L.</t>
  </si>
  <si>
    <t>02334050396</t>
  </si>
  <si>
    <t>IT02334050396</t>
  </si>
  <si>
    <t>2813.</t>
  </si>
  <si>
    <t>CERBIATTO S.R.L.</t>
  </si>
  <si>
    <t>01125510501</t>
  </si>
  <si>
    <t>IT01125510501</t>
  </si>
  <si>
    <t>2814.</t>
  </si>
  <si>
    <t>ENDS CUOIO S.R.L.</t>
  </si>
  <si>
    <t>02962470601</t>
  </si>
  <si>
    <t>IT02962470601</t>
  </si>
  <si>
    <t>2815.</t>
  </si>
  <si>
    <t>OTTO B. S.R.L.</t>
  </si>
  <si>
    <t>00810420257</t>
  </si>
  <si>
    <t>IT00810420257</t>
  </si>
  <si>
    <t>Belluno</t>
  </si>
  <si>
    <t>2816.</t>
  </si>
  <si>
    <t>CARLO TIVIOLI S.R.L.</t>
  </si>
  <si>
    <t>07773300012</t>
  </si>
  <si>
    <t>IT07773300012</t>
  </si>
  <si>
    <t>2817.</t>
  </si>
  <si>
    <t>ZENIT SRL</t>
  </si>
  <si>
    <t>02341130447</t>
  </si>
  <si>
    <t>IT02341130447</t>
  </si>
  <si>
    <t>2818.</t>
  </si>
  <si>
    <t>G.B.M. S.R.L.</t>
  </si>
  <si>
    <t>02445670363</t>
  </si>
  <si>
    <t>IT02445670363</t>
  </si>
  <si>
    <t>2819.</t>
  </si>
  <si>
    <t>GC FASHION GROUP SOCIETA' A RESPONSABILITA' LIMITATA</t>
  </si>
  <si>
    <t>15589681004</t>
  </si>
  <si>
    <t>IT15589681004</t>
  </si>
  <si>
    <t>2820.</t>
  </si>
  <si>
    <t>MAGLIFICIO TOMAS SRL</t>
  </si>
  <si>
    <t>00179210448</t>
  </si>
  <si>
    <t>IT00179210448</t>
  </si>
  <si>
    <t>2821.</t>
  </si>
  <si>
    <t>CATYA S.R.L.</t>
  </si>
  <si>
    <t>04130240379</t>
  </si>
  <si>
    <t>IT04130240379</t>
  </si>
  <si>
    <t>2822.</t>
  </si>
  <si>
    <t>VOLBAL DI VOLPATO ATTILIO E FIGLI S.R.L.</t>
  </si>
  <si>
    <t>00388680282</t>
  </si>
  <si>
    <t>IT00388680282</t>
  </si>
  <si>
    <t>2823.</t>
  </si>
  <si>
    <t>CENTANNI LAVORAZIONE PELLAMI S.R.L.</t>
  </si>
  <si>
    <t>01889490445</t>
  </si>
  <si>
    <t>IT01889490445</t>
  </si>
  <si>
    <t>2824.</t>
  </si>
  <si>
    <t>GIT S.R.L.</t>
  </si>
  <si>
    <t>02234460505</t>
  </si>
  <si>
    <t>IT02234460505</t>
  </si>
  <si>
    <t>2825.</t>
  </si>
  <si>
    <t>CALZATURIFICIO EMANUELA S.R.L.</t>
  </si>
  <si>
    <t>00473250413</t>
  </si>
  <si>
    <t>IT00473250413</t>
  </si>
  <si>
    <t>2826.</t>
  </si>
  <si>
    <t>MANIFATTURE DIPIERRE S.R.L.</t>
  </si>
  <si>
    <t>01888120647</t>
  </si>
  <si>
    <t>IT01888120647</t>
  </si>
  <si>
    <t>2827.</t>
  </si>
  <si>
    <t>JAMAICA 2020 S.R.L.</t>
  </si>
  <si>
    <t>11083260965</t>
  </si>
  <si>
    <t>IT11083260965</t>
  </si>
  <si>
    <t>2828.</t>
  </si>
  <si>
    <t>RACING TACK S.R.L.</t>
  </si>
  <si>
    <t>04967380157</t>
  </si>
  <si>
    <t>IT04967380157</t>
  </si>
  <si>
    <t>2829.</t>
  </si>
  <si>
    <t>DIAMFONDI SRL</t>
  </si>
  <si>
    <t>00378590442</t>
  </si>
  <si>
    <t>IT00378590442</t>
  </si>
  <si>
    <t>2830.</t>
  </si>
  <si>
    <t>PELER ITALIA S.R.L.</t>
  </si>
  <si>
    <t>03593000361</t>
  </si>
  <si>
    <t>IT03593000361</t>
  </si>
  <si>
    <t>2831.</t>
  </si>
  <si>
    <t>WESTAR SRL</t>
  </si>
  <si>
    <t>06028620489</t>
  </si>
  <si>
    <t>IT06028620489</t>
  </si>
  <si>
    <t>2832.</t>
  </si>
  <si>
    <t>SATEX S.R.L.</t>
  </si>
  <si>
    <t>05960400652</t>
  </si>
  <si>
    <t>IT05960400652</t>
  </si>
  <si>
    <t>2833.</t>
  </si>
  <si>
    <t>CALZATURIFICIO LAUDINO CACCIN S.R.L.</t>
  </si>
  <si>
    <t>02273660288</t>
  </si>
  <si>
    <t>IT02273660288</t>
  </si>
  <si>
    <t>2834.</t>
  </si>
  <si>
    <t>MAX MAGLIERIE SRL</t>
  </si>
  <si>
    <t>01289210351</t>
  </si>
  <si>
    <t>IT01289210351</t>
  </si>
  <si>
    <t>2835.</t>
  </si>
  <si>
    <t>START UP GROUP S.R.L.</t>
  </si>
  <si>
    <t>08321751219</t>
  </si>
  <si>
    <t>IT08321751219</t>
  </si>
  <si>
    <t>2836.</t>
  </si>
  <si>
    <t>CONFEZIONI BILO' S.R.L.</t>
  </si>
  <si>
    <t>01501090516</t>
  </si>
  <si>
    <t>IT01501090516</t>
  </si>
  <si>
    <t>2837.</t>
  </si>
  <si>
    <t>C.R.E. CALZIFICI RIUNITI ELLI S.R.L.</t>
  </si>
  <si>
    <t>00747510121</t>
  </si>
  <si>
    <t>03749370155</t>
  </si>
  <si>
    <t>IT03749370155</t>
  </si>
  <si>
    <t>2838.</t>
  </si>
  <si>
    <t>ART SPOSA S.R.L.</t>
  </si>
  <si>
    <t>01702460500</t>
  </si>
  <si>
    <t>IT01702460500</t>
  </si>
  <si>
    <t>2839.</t>
  </si>
  <si>
    <t>AV LAB S.R.L.</t>
  </si>
  <si>
    <t>04001910274</t>
  </si>
  <si>
    <t>IT04001910274</t>
  </si>
  <si>
    <t>2840.</t>
  </si>
  <si>
    <t>GHIZZANPELLI FRIGO S.R.L.</t>
  </si>
  <si>
    <t>00708270509</t>
  </si>
  <si>
    <t>IT00708270509</t>
  </si>
  <si>
    <t>2841.</t>
  </si>
  <si>
    <t>MCC PROJECT S.R.L.</t>
  </si>
  <si>
    <t>03250140120</t>
  </si>
  <si>
    <t>IT03250140120</t>
  </si>
  <si>
    <t>2842.</t>
  </si>
  <si>
    <t>FEETNESS S.R.L.</t>
  </si>
  <si>
    <t>04038490985</t>
  </si>
  <si>
    <t>IT04038490985</t>
  </si>
  <si>
    <t>2843.</t>
  </si>
  <si>
    <t>TESSILCOMPANY S.R.L.</t>
  </si>
  <si>
    <t>01303390122</t>
  </si>
  <si>
    <t>IT01303390122</t>
  </si>
  <si>
    <t>2844.</t>
  </si>
  <si>
    <t>CAF S.R.L.</t>
  </si>
  <si>
    <t>00180840449</t>
  </si>
  <si>
    <t>IT00180840449</t>
  </si>
  <si>
    <t>2845.</t>
  </si>
  <si>
    <t>WEST POINT MANIFATTURA CRAVATTE S.R.L.</t>
  </si>
  <si>
    <t>02988920159</t>
  </si>
  <si>
    <t>IT02988920159</t>
  </si>
  <si>
    <t>2846.</t>
  </si>
  <si>
    <t>MANIFATTURE GIEFFE S.R.L.</t>
  </si>
  <si>
    <t>07629090726</t>
  </si>
  <si>
    <t>IT07629090726</t>
  </si>
  <si>
    <t>2847.</t>
  </si>
  <si>
    <t>MACHATTIE S.R.L.</t>
  </si>
  <si>
    <t>00338820970</t>
  </si>
  <si>
    <t>00703330506</t>
  </si>
  <si>
    <t>IT00703330506</t>
  </si>
  <si>
    <t>2848.</t>
  </si>
  <si>
    <t>IVI S.R.L.</t>
  </si>
  <si>
    <t>02568090233</t>
  </si>
  <si>
    <t>IT02568090233</t>
  </si>
  <si>
    <t>2849.</t>
  </si>
  <si>
    <t>V E R S.R.L.</t>
  </si>
  <si>
    <t>07696201214</t>
  </si>
  <si>
    <t>IT07696201214</t>
  </si>
  <si>
    <t>2850.</t>
  </si>
  <si>
    <t>ALMA SRL</t>
  </si>
  <si>
    <t>05141110261</t>
  </si>
  <si>
    <t>IT05141110261</t>
  </si>
  <si>
    <t>2851.</t>
  </si>
  <si>
    <t>CALZIFICIO DANY SRL</t>
  </si>
  <si>
    <t>02140280989</t>
  </si>
  <si>
    <t>IT02140280989</t>
  </si>
  <si>
    <t>2852.</t>
  </si>
  <si>
    <t>MARILENA CAPUZZI SRL</t>
  </si>
  <si>
    <t>02356790986</t>
  </si>
  <si>
    <t>IT02356790986</t>
  </si>
  <si>
    <t>2853.</t>
  </si>
  <si>
    <t>D'ANGELO S.R.L.</t>
  </si>
  <si>
    <t>02048240127</t>
  </si>
  <si>
    <t>IT02048240127</t>
  </si>
  <si>
    <t>2854.</t>
  </si>
  <si>
    <t>SLER SRL</t>
  </si>
  <si>
    <t>08041431217</t>
  </si>
  <si>
    <t>IT08041431217</t>
  </si>
  <si>
    <t>2855.</t>
  </si>
  <si>
    <t>MARTYLO' SRL</t>
  </si>
  <si>
    <t>05450800486</t>
  </si>
  <si>
    <t>IT05450800486</t>
  </si>
  <si>
    <t>2856.</t>
  </si>
  <si>
    <t>CRISTINA MILLOTTI S.R.L.</t>
  </si>
  <si>
    <t>01418160519</t>
  </si>
  <si>
    <t>IT01418160519</t>
  </si>
  <si>
    <t>2857.</t>
  </si>
  <si>
    <t>CALZATURIFICIO MONTELLIANA S.R.L</t>
  </si>
  <si>
    <t>04472000266</t>
  </si>
  <si>
    <t>IT04472000266</t>
  </si>
  <si>
    <t>2858.</t>
  </si>
  <si>
    <t>DUEGI PELLETTERIE SRL</t>
  </si>
  <si>
    <t>03255300240</t>
  </si>
  <si>
    <t>IT03255300240</t>
  </si>
  <si>
    <t>2859.</t>
  </si>
  <si>
    <t>CLARA S.R.L.</t>
  </si>
  <si>
    <t>01291010435</t>
  </si>
  <si>
    <t>IT01291010435</t>
  </si>
  <si>
    <t>2860.</t>
  </si>
  <si>
    <t>VALENTINA BAGS S.R.L.</t>
  </si>
  <si>
    <t>04639840968</t>
  </si>
  <si>
    <t>IT04639840968</t>
  </si>
  <si>
    <t>2861.</t>
  </si>
  <si>
    <t>ELKO S.R.L.</t>
  </si>
  <si>
    <t>02487040046</t>
  </si>
  <si>
    <t>IT02487040046</t>
  </si>
  <si>
    <t>2862.</t>
  </si>
  <si>
    <t>PIETROGRANDE S.R.L.</t>
  </si>
  <si>
    <t>02442260283</t>
  </si>
  <si>
    <t>IT02442260283</t>
  </si>
  <si>
    <t>2863.</t>
  </si>
  <si>
    <t>TREGIPELL S.R.L. - SOCIETA' UNIPERSONALE</t>
  </si>
  <si>
    <t>02789620248</t>
  </si>
  <si>
    <t>IT02789620248</t>
  </si>
  <si>
    <t>2864.</t>
  </si>
  <si>
    <t>MC 2 S.R.L.</t>
  </si>
  <si>
    <t>04477010617</t>
  </si>
  <si>
    <t>IT04477010617</t>
  </si>
  <si>
    <t>2865.</t>
  </si>
  <si>
    <t>TRE ESSE S.R.L.</t>
  </si>
  <si>
    <t>01636860437</t>
  </si>
  <si>
    <t>IT01636860437</t>
  </si>
  <si>
    <t>2866.</t>
  </si>
  <si>
    <t>B.WEAR S.R.L.</t>
  </si>
  <si>
    <t>03431160245</t>
  </si>
  <si>
    <t>IT03431160245</t>
  </si>
  <si>
    <t>2867.</t>
  </si>
  <si>
    <t>SARA BURGLAR S.R.L.</t>
  </si>
  <si>
    <t>01882070434</t>
  </si>
  <si>
    <t>IT01882070434</t>
  </si>
  <si>
    <t>2868.</t>
  </si>
  <si>
    <t>CONCERIA TURBIGHESE S.R.L.</t>
  </si>
  <si>
    <t>00693580151</t>
  </si>
  <si>
    <t>IT00693580151</t>
  </si>
  <si>
    <t>2869.</t>
  </si>
  <si>
    <t>LORENA PAGGI S.R.L.</t>
  </si>
  <si>
    <t>01633100449</t>
  </si>
  <si>
    <t>IT01633100449</t>
  </si>
  <si>
    <t>2870.</t>
  </si>
  <si>
    <t>CLEAN CLOTHES S.R.L.</t>
  </si>
  <si>
    <t>06387060723</t>
  </si>
  <si>
    <t>IT06387060723</t>
  </si>
  <si>
    <t>2871.</t>
  </si>
  <si>
    <t>PRESIDENT F.R.S SRL</t>
  </si>
  <si>
    <t>10043110963</t>
  </si>
  <si>
    <t>IT10043110963</t>
  </si>
  <si>
    <t>2872.</t>
  </si>
  <si>
    <t>DAL LAGO SRL</t>
  </si>
  <si>
    <t>03000310247</t>
  </si>
  <si>
    <t>IT03000310247</t>
  </si>
  <si>
    <t>2873.</t>
  </si>
  <si>
    <t>STIROVAP S.R.L.</t>
  </si>
  <si>
    <t>00267230357</t>
  </si>
  <si>
    <t>IT00267230357</t>
  </si>
  <si>
    <t>2874.</t>
  </si>
  <si>
    <t>TEOX S.R.L.</t>
  </si>
  <si>
    <t>01709280448</t>
  </si>
  <si>
    <t>IT01709280448</t>
  </si>
  <si>
    <t>2875.</t>
  </si>
  <si>
    <t>FLORENCE INTERNATIONAL S.R.L.</t>
  </si>
  <si>
    <t>02286470972</t>
  </si>
  <si>
    <t>IT02286470972</t>
  </si>
  <si>
    <t>2876.</t>
  </si>
  <si>
    <t>TIENNE COMMERCIALE SRL</t>
  </si>
  <si>
    <t>05014040157</t>
  </si>
  <si>
    <t>IT05014040157</t>
  </si>
  <si>
    <t>2877.</t>
  </si>
  <si>
    <t>N.P.M. S.R.L.</t>
  </si>
  <si>
    <t>01282770294</t>
  </si>
  <si>
    <t>IT01282770294</t>
  </si>
  <si>
    <t>2878.</t>
  </si>
  <si>
    <t>TRANCERIA LA TOSCANA S.R.L.</t>
  </si>
  <si>
    <t>01610210500</t>
  </si>
  <si>
    <t>IT01610210500</t>
  </si>
  <si>
    <t>2879.</t>
  </si>
  <si>
    <t>CALZIFICIO BOMBANA S.R.L.</t>
  </si>
  <si>
    <t>02468280207</t>
  </si>
  <si>
    <t>IT02468280207</t>
  </si>
  <si>
    <t>2880.</t>
  </si>
  <si>
    <t>STEFANO CONTICELLI S.R.L.</t>
  </si>
  <si>
    <t>01367960554</t>
  </si>
  <si>
    <t>IT01367960554</t>
  </si>
  <si>
    <t>2881.</t>
  </si>
  <si>
    <t>CO.BRI. S.R.L.</t>
  </si>
  <si>
    <t>03993110489</t>
  </si>
  <si>
    <t>IT03993110489</t>
  </si>
  <si>
    <t>2882.</t>
  </si>
  <si>
    <t>FIDES S.R.L.</t>
  </si>
  <si>
    <t>03741900405</t>
  </si>
  <si>
    <t>IT03741900405</t>
  </si>
  <si>
    <t>2883.</t>
  </si>
  <si>
    <t>CONFEZIONI MOMODA SRL</t>
  </si>
  <si>
    <t>02735550358</t>
  </si>
  <si>
    <t>IT02735550358</t>
  </si>
  <si>
    <t>2884.</t>
  </si>
  <si>
    <t>CREATION CONFEZIONI SOCIETA' A RESPONSABILITA' LIMITATA SEMPLIFICATA</t>
  </si>
  <si>
    <t>05533940879</t>
  </si>
  <si>
    <t>IT05533940879</t>
  </si>
  <si>
    <t>Catania</t>
  </si>
  <si>
    <t>2885.</t>
  </si>
  <si>
    <t>AKRON S.R.L.</t>
  </si>
  <si>
    <t>03513650238</t>
  </si>
  <si>
    <t>IT03513650238</t>
  </si>
  <si>
    <t>2886.</t>
  </si>
  <si>
    <t>BERLINI S.R.L.</t>
  </si>
  <si>
    <t>03335290403</t>
  </si>
  <si>
    <t>IT03335290403</t>
  </si>
  <si>
    <t>2887.</t>
  </si>
  <si>
    <t>IM ITALIANA MANIFATTURE SRL</t>
  </si>
  <si>
    <t>02438370443</t>
  </si>
  <si>
    <t>IT02438370443</t>
  </si>
  <si>
    <t>2888.</t>
  </si>
  <si>
    <t>BUTI SRL</t>
  </si>
  <si>
    <t>01723370506</t>
  </si>
  <si>
    <t>IT01723370506</t>
  </si>
  <si>
    <t>2889.</t>
  </si>
  <si>
    <t>TOMAIFICIO TARGA S.R.L.</t>
  </si>
  <si>
    <t>01451670291</t>
  </si>
  <si>
    <t>IT01451670291</t>
  </si>
  <si>
    <t>Rovigo</t>
  </si>
  <si>
    <t>2890.</t>
  </si>
  <si>
    <t>GIORI S.R.L.</t>
  </si>
  <si>
    <t>02367500440</t>
  </si>
  <si>
    <t>IT02367500440</t>
  </si>
  <si>
    <t>2891.</t>
  </si>
  <si>
    <t>LUBELLO SRL</t>
  </si>
  <si>
    <t>03837910755</t>
  </si>
  <si>
    <t>IT03837910755</t>
  </si>
  <si>
    <t>2892.</t>
  </si>
  <si>
    <t>JEFFED S.R.L.</t>
  </si>
  <si>
    <t>01874600677</t>
  </si>
  <si>
    <t>IT01874600677</t>
  </si>
  <si>
    <t>2893.</t>
  </si>
  <si>
    <t>VICH ITALIA S.R.L.</t>
  </si>
  <si>
    <t>03082640164</t>
  </si>
  <si>
    <t>IT03082640164</t>
  </si>
  <si>
    <t>2894.</t>
  </si>
  <si>
    <t>CALZATURIFICIO AMORUSO S.R.L.</t>
  </si>
  <si>
    <t>07893750724</t>
  </si>
  <si>
    <t>IT07893750724</t>
  </si>
  <si>
    <t>2895.</t>
  </si>
  <si>
    <t>OPERA PRIMA S.R.L.</t>
  </si>
  <si>
    <t>06432220728</t>
  </si>
  <si>
    <t>IT06432220728</t>
  </si>
  <si>
    <t>2896.</t>
  </si>
  <si>
    <t>EMMEGI S.R.L.</t>
  </si>
  <si>
    <t>02549050603</t>
  </si>
  <si>
    <t>IT02549050603</t>
  </si>
  <si>
    <t>2897.</t>
  </si>
  <si>
    <t>TOP LINE SRL FASHION FACTORY</t>
  </si>
  <si>
    <t>01885340438</t>
  </si>
  <si>
    <t>IT01885340438</t>
  </si>
  <si>
    <t>2898.</t>
  </si>
  <si>
    <t>TORO S.R.L.</t>
  </si>
  <si>
    <t>05215670489</t>
  </si>
  <si>
    <t>IT05215670489</t>
  </si>
  <si>
    <t>2899.</t>
  </si>
  <si>
    <t>TOMA S.R.L.</t>
  </si>
  <si>
    <t>00342620432</t>
  </si>
  <si>
    <t>IT00342620432</t>
  </si>
  <si>
    <t>2900.</t>
  </si>
  <si>
    <t>MAGLIFICIO CAMELIA S.R.L.</t>
  </si>
  <si>
    <t>00222290165</t>
  </si>
  <si>
    <t>IT00222290165</t>
  </si>
  <si>
    <t>2901.</t>
  </si>
  <si>
    <t>ELLEBI S.R.L.</t>
  </si>
  <si>
    <t>03260400407</t>
  </si>
  <si>
    <t>IT03260400407</t>
  </si>
  <si>
    <t>2902.</t>
  </si>
  <si>
    <t>PASSI D'ESTATE SOCIETA' A RESPONSABILITA' LIMITATA</t>
  </si>
  <si>
    <t>08107551213</t>
  </si>
  <si>
    <t>IT08107551213</t>
  </si>
  <si>
    <t>2903.</t>
  </si>
  <si>
    <t>GRUPPO TESSILE ABBIGLIAMENTO MODA - S.R.L.</t>
  </si>
  <si>
    <t>00711890988</t>
  </si>
  <si>
    <t>02963830175</t>
  </si>
  <si>
    <t>IT02963830175</t>
  </si>
  <si>
    <t>2904.</t>
  </si>
  <si>
    <t>CALZATURIFICIO MICHELA S.R.L.</t>
  </si>
  <si>
    <t>02398670469</t>
  </si>
  <si>
    <t>IT02398670469</t>
  </si>
  <si>
    <t>2905.</t>
  </si>
  <si>
    <t>CHRISTIA SRL</t>
  </si>
  <si>
    <t>03389050240</t>
  </si>
  <si>
    <t>IT03389050240</t>
  </si>
  <si>
    <t>2906.</t>
  </si>
  <si>
    <t>EVA SRL</t>
  </si>
  <si>
    <t>03832860369</t>
  </si>
  <si>
    <t>IT03832860369</t>
  </si>
  <si>
    <t>2907.</t>
  </si>
  <si>
    <t>QUADRIFOGLIO S.R.L.</t>
  </si>
  <si>
    <t>03555000540</t>
  </si>
  <si>
    <t>IT03555000540</t>
  </si>
  <si>
    <t>2908.</t>
  </si>
  <si>
    <t>CALZATURIFICIO R.E.F.A.C. S.R.L.</t>
  </si>
  <si>
    <t>01246890436</t>
  </si>
  <si>
    <t>IT01246890436</t>
  </si>
  <si>
    <t>2909.</t>
  </si>
  <si>
    <t>DETTAGLI S.R.L.</t>
  </si>
  <si>
    <t>01339370445</t>
  </si>
  <si>
    <t>IT01339370445</t>
  </si>
  <si>
    <t>2910.</t>
  </si>
  <si>
    <t>DAVID S.R.L.</t>
  </si>
  <si>
    <t>03774110161</t>
  </si>
  <si>
    <t>IT03774110161</t>
  </si>
  <si>
    <t>2911.</t>
  </si>
  <si>
    <t>SENATORE S.R.L.</t>
  </si>
  <si>
    <t>05516520656</t>
  </si>
  <si>
    <t>IT05516520656</t>
  </si>
  <si>
    <t>2912.</t>
  </si>
  <si>
    <t>MAXCOM LEATHER ITALIA SRL</t>
  </si>
  <si>
    <t>04301480242</t>
  </si>
  <si>
    <t>IT04301480242</t>
  </si>
  <si>
    <t>2913.</t>
  </si>
  <si>
    <t>SIMANI INDUSTRIE - S.R.L.</t>
  </si>
  <si>
    <t>01656520465</t>
  </si>
  <si>
    <t>IT01656520465</t>
  </si>
  <si>
    <t>2914.</t>
  </si>
  <si>
    <t>GEOFFREY B. SMALL MADE IN ITALY S.R.L.</t>
  </si>
  <si>
    <t>04369270279</t>
  </si>
  <si>
    <t>IT04369270279</t>
  </si>
  <si>
    <t>2915.</t>
  </si>
  <si>
    <t>NICOLINI SILVANA S.R.L.</t>
  </si>
  <si>
    <t>02107590206</t>
  </si>
  <si>
    <t>IT02107590206</t>
  </si>
  <si>
    <t>2916.</t>
  </si>
  <si>
    <t>SETTIMOCIELO S.R.L.</t>
  </si>
  <si>
    <t>01170310369</t>
  </si>
  <si>
    <t>IT01170310369</t>
  </si>
  <si>
    <t>2917.</t>
  </si>
  <si>
    <t>SARTORIA AGO &amp; FILO SRL</t>
  </si>
  <si>
    <t>02759510429</t>
  </si>
  <si>
    <t>IT02759510429</t>
  </si>
  <si>
    <t>2918.</t>
  </si>
  <si>
    <t>WESTERNBULL S.R.L.</t>
  </si>
  <si>
    <t>02210240509</t>
  </si>
  <si>
    <t>IT02210240509</t>
  </si>
  <si>
    <t>2919.</t>
  </si>
  <si>
    <t>JOLLY MANIFATTURE S.R.L.</t>
  </si>
  <si>
    <t>02772050544</t>
  </si>
  <si>
    <t>IT02772050544</t>
  </si>
  <si>
    <t>2920.</t>
  </si>
  <si>
    <t>MALIZIOSA S.R.L. - SOCIETA' A RESPONSABILITA' LIMITATA</t>
  </si>
  <si>
    <t>01159570447</t>
  </si>
  <si>
    <t>IT01159570447</t>
  </si>
  <si>
    <t>2921.</t>
  </si>
  <si>
    <t>BELTRAMI EMORE S.R.L.</t>
  </si>
  <si>
    <t>01645510361</t>
  </si>
  <si>
    <t>IT01645510361</t>
  </si>
  <si>
    <t>2922.</t>
  </si>
  <si>
    <t>CORIUM SRL</t>
  </si>
  <si>
    <t>06292990485</t>
  </si>
  <si>
    <t>IT06292990485</t>
  </si>
  <si>
    <t>2923.</t>
  </si>
  <si>
    <t>MAGICONF - S.R.L.</t>
  </si>
  <si>
    <t>00913650677</t>
  </si>
  <si>
    <t>IT00913650677</t>
  </si>
  <si>
    <t>2924.</t>
  </si>
  <si>
    <t>PLENA SRL</t>
  </si>
  <si>
    <t>11427570962</t>
  </si>
  <si>
    <t>IT11427570962</t>
  </si>
  <si>
    <t>2925.</t>
  </si>
  <si>
    <t>MALVI &amp; CO. SRL</t>
  </si>
  <si>
    <t>05199130963</t>
  </si>
  <si>
    <t>IT05199130963</t>
  </si>
  <si>
    <t>2926.</t>
  </si>
  <si>
    <t>CALZATURIFICIO ETERNI S.R.L.S.</t>
  </si>
  <si>
    <t>05189390288</t>
  </si>
  <si>
    <t>IT05189390288</t>
  </si>
  <si>
    <t>2927.</t>
  </si>
  <si>
    <t>CA.LU'. - S.R.L.</t>
  </si>
  <si>
    <t>02350200651</t>
  </si>
  <si>
    <t>IT02350200651</t>
  </si>
  <si>
    <t>2928.</t>
  </si>
  <si>
    <t>DITTA PIERONI BRUNO SOCIETA' A RESPONSABILITA' LIMITATA</t>
  </si>
  <si>
    <t>01806091003</t>
  </si>
  <si>
    <t>07556780588</t>
  </si>
  <si>
    <t>IT07556780588</t>
  </si>
  <si>
    <t>2929.</t>
  </si>
  <si>
    <t>DENNY ROSE S.R.L.</t>
  </si>
  <si>
    <t>02666230368</t>
  </si>
  <si>
    <t>IT02666230368</t>
  </si>
  <si>
    <t>2930.</t>
  </si>
  <si>
    <t>STUDIO S.D.B. SRL</t>
  </si>
  <si>
    <t>03169390279</t>
  </si>
  <si>
    <t>IT03169390279</t>
  </si>
  <si>
    <t>2931.</t>
  </si>
  <si>
    <t>EBE GROUP S.R.L.</t>
  </si>
  <si>
    <t>03553760616</t>
  </si>
  <si>
    <t>IT03553760616</t>
  </si>
  <si>
    <t>2932.</t>
  </si>
  <si>
    <t>SCM S.R.L.</t>
  </si>
  <si>
    <t>05197520751</t>
  </si>
  <si>
    <t>IT05197520751</t>
  </si>
  <si>
    <t>2933.</t>
  </si>
  <si>
    <t>CALZATURIFICIO PEGASO S.R.L.</t>
  </si>
  <si>
    <t>01810200509</t>
  </si>
  <si>
    <t>IT01810200509</t>
  </si>
  <si>
    <t>2934.</t>
  </si>
  <si>
    <t>ARPEC ITALIA SRL</t>
  </si>
  <si>
    <t>01983390442</t>
  </si>
  <si>
    <t>IT01983390442</t>
  </si>
  <si>
    <t>2935.</t>
  </si>
  <si>
    <t>CAMPEI S.R.L.</t>
  </si>
  <si>
    <t>00957780141</t>
  </si>
  <si>
    <t>IT00957780141</t>
  </si>
  <si>
    <t>Sondrio</t>
  </si>
  <si>
    <t>2936.</t>
  </si>
  <si>
    <t>A3 S.R.L.</t>
  </si>
  <si>
    <t>01972010126</t>
  </si>
  <si>
    <t>IT01972010126</t>
  </si>
  <si>
    <t>2937.</t>
  </si>
  <si>
    <t>CURCI FASHION GROUP S.R.L.</t>
  </si>
  <si>
    <t>06985200721</t>
  </si>
  <si>
    <t>IT06985200721</t>
  </si>
  <si>
    <t>2938.</t>
  </si>
  <si>
    <t>SOZZI CALZE S.R.L.</t>
  </si>
  <si>
    <t>12874520153</t>
  </si>
  <si>
    <t>00126170224</t>
  </si>
  <si>
    <t>IT00126170224</t>
  </si>
  <si>
    <t>2939.</t>
  </si>
  <si>
    <t>ZANEBET S.R.L. UNIPERSONALE</t>
  </si>
  <si>
    <t>02805120249</t>
  </si>
  <si>
    <t>IT02805120249</t>
  </si>
  <si>
    <t>2940.</t>
  </si>
  <si>
    <t>LIA DIVA SRL</t>
  </si>
  <si>
    <t>09734681217</t>
  </si>
  <si>
    <t>IT09734681217</t>
  </si>
  <si>
    <t>2941.</t>
  </si>
  <si>
    <t>DGL S.R.L.</t>
  </si>
  <si>
    <t>13574441005</t>
  </si>
  <si>
    <t>IT13574441005</t>
  </si>
  <si>
    <t>2942.</t>
  </si>
  <si>
    <t>MAZZOLENI GLOVES S.R.L.</t>
  </si>
  <si>
    <t>03002220162</t>
  </si>
  <si>
    <t>IT03002220162</t>
  </si>
  <si>
    <t>2943.</t>
  </si>
  <si>
    <t>SLIM ITALIA GROUP S.R.L.</t>
  </si>
  <si>
    <t>02080140854</t>
  </si>
  <si>
    <t>IT02080140854</t>
  </si>
  <si>
    <t>Caltanissetta</t>
  </si>
  <si>
    <t>2944.</t>
  </si>
  <si>
    <t>MIDA TESSILE S.R.L.</t>
  </si>
  <si>
    <t>06906210726</t>
  </si>
  <si>
    <t>IT06906210726</t>
  </si>
  <si>
    <t>2945.</t>
  </si>
  <si>
    <t>COMPLESSO SAN LORENZO MAGGIORE S.R.L.</t>
  </si>
  <si>
    <t>04721761213</t>
  </si>
  <si>
    <t>IT04721761213</t>
  </si>
  <si>
    <t>2946.</t>
  </si>
  <si>
    <t>NUOVA OFFICINE TESSILI S.R.L</t>
  </si>
  <si>
    <t>05904750725</t>
  </si>
  <si>
    <t>IT05904750725</t>
  </si>
  <si>
    <t>2947.</t>
  </si>
  <si>
    <t>LA SCARPA &amp; CO. S.R.L.</t>
  </si>
  <si>
    <t>04347260400</t>
  </si>
  <si>
    <t>IT04347260400</t>
  </si>
  <si>
    <t>2948.</t>
  </si>
  <si>
    <t>PIEROPAN &amp; BAUCE S.R.L.</t>
  </si>
  <si>
    <t>02989140245</t>
  </si>
  <si>
    <t>IT02989140245</t>
  </si>
  <si>
    <t>2949.</t>
  </si>
  <si>
    <t>PELLICCERIA NOVELLA S.R.L.</t>
  </si>
  <si>
    <t>00696000249</t>
  </si>
  <si>
    <t>IT00696000249</t>
  </si>
  <si>
    <t>2950.</t>
  </si>
  <si>
    <t>P.A.T. S.R.L.</t>
  </si>
  <si>
    <t>03569220282</t>
  </si>
  <si>
    <t>IT03569220282</t>
  </si>
  <si>
    <t>2951.</t>
  </si>
  <si>
    <t>BONETTO CINTURINI S.R.L.</t>
  </si>
  <si>
    <t>03278300243</t>
  </si>
  <si>
    <t>IT03278300243</t>
  </si>
  <si>
    <t>2952.</t>
  </si>
  <si>
    <t>OTTO S.R.L.</t>
  </si>
  <si>
    <t>04195040961</t>
  </si>
  <si>
    <t>IT04195040961</t>
  </si>
  <si>
    <t>2953.</t>
  </si>
  <si>
    <t>V.J. S.R.L.</t>
  </si>
  <si>
    <t>05347960725</t>
  </si>
  <si>
    <t>IT05347960725</t>
  </si>
  <si>
    <t>2954.</t>
  </si>
  <si>
    <t>CRISTINA BONFANTI S.R.L.</t>
  </si>
  <si>
    <t>10810090968</t>
  </si>
  <si>
    <t>IT10810090968</t>
  </si>
  <si>
    <t>2955.</t>
  </si>
  <si>
    <t>+39 MANIFATTURE S.R.L.</t>
  </si>
  <si>
    <t>05821290961</t>
  </si>
  <si>
    <t>IT05821290961</t>
  </si>
  <si>
    <t>2956.</t>
  </si>
  <si>
    <t>SCACCO S.R.L.</t>
  </si>
  <si>
    <t>04801340235</t>
  </si>
  <si>
    <t>IT04801340235</t>
  </si>
  <si>
    <t>2957.</t>
  </si>
  <si>
    <t>MELAPELL S.R.L.</t>
  </si>
  <si>
    <t>02396830248</t>
  </si>
  <si>
    <t>IT02396830248</t>
  </si>
  <si>
    <t>2958.</t>
  </si>
  <si>
    <t>INTERNATIONAL LEATHER WEAVINGS S.R.L.</t>
  </si>
  <si>
    <t>07005830489</t>
  </si>
  <si>
    <t>IT07005830489</t>
  </si>
  <si>
    <t>2959.</t>
  </si>
  <si>
    <t>FERRUCCI GROUP S.R.L.</t>
  </si>
  <si>
    <t>06984900727</t>
  </si>
  <si>
    <t>IT06984900727</t>
  </si>
  <si>
    <t>2960.</t>
  </si>
  <si>
    <t>LA FONTE PADS SRL</t>
  </si>
  <si>
    <t>03927500268</t>
  </si>
  <si>
    <t>IT03927500268</t>
  </si>
  <si>
    <t>2961.</t>
  </si>
  <si>
    <t>SUITE SARTORIA SOCIETA' A RESPONSABILITA' LIMITATA SEMPLIFICATA</t>
  </si>
  <si>
    <t>09182141219</t>
  </si>
  <si>
    <t>IT09182141219</t>
  </si>
  <si>
    <t>2962.</t>
  </si>
  <si>
    <t>CARLO DEPLANO S.R.L.</t>
  </si>
  <si>
    <t>02069630123</t>
  </si>
  <si>
    <t>IT02069630123</t>
  </si>
  <si>
    <t>2963.</t>
  </si>
  <si>
    <t>EV SRL</t>
  </si>
  <si>
    <t>02018280020</t>
  </si>
  <si>
    <t>IT02018280020</t>
  </si>
  <si>
    <t>2964.</t>
  </si>
  <si>
    <t>CIGIEFFE - S.R.L.</t>
  </si>
  <si>
    <t>01442390025</t>
  </si>
  <si>
    <t>IT01442390025</t>
  </si>
  <si>
    <t>2965.</t>
  </si>
  <si>
    <t>ERRICO FORMICOLA SRL</t>
  </si>
  <si>
    <t>04514100652</t>
  </si>
  <si>
    <t>IT04514100652</t>
  </si>
  <si>
    <t>2966.</t>
  </si>
  <si>
    <t>CAMICERIA SANFORT S.R.L.</t>
  </si>
  <si>
    <t>04500590726</t>
  </si>
  <si>
    <t>IT04500590726</t>
  </si>
  <si>
    <t>2967.</t>
  </si>
  <si>
    <t>DIAL TESSILE SRL</t>
  </si>
  <si>
    <t>03072930047</t>
  </si>
  <si>
    <t>IT03072930047</t>
  </si>
  <si>
    <t>2968.</t>
  </si>
  <si>
    <t>MELANTO CONFEZIONI S.R.L.</t>
  </si>
  <si>
    <t>04462920754</t>
  </si>
  <si>
    <t>IT04462920754</t>
  </si>
  <si>
    <t>2969.</t>
  </si>
  <si>
    <t>YOKI S.R.L.</t>
  </si>
  <si>
    <t>02397650975</t>
  </si>
  <si>
    <t>IT02397650975</t>
  </si>
  <si>
    <t>2970.</t>
  </si>
  <si>
    <t>SERIENUMERICA S.R.L.</t>
  </si>
  <si>
    <t>12254260016</t>
  </si>
  <si>
    <t>IT12254260016</t>
  </si>
  <si>
    <t>2971.</t>
  </si>
  <si>
    <t>ESSERICAMI SRL</t>
  </si>
  <si>
    <t>02637210309</t>
  </si>
  <si>
    <t>IT02637210309</t>
  </si>
  <si>
    <t>2972.</t>
  </si>
  <si>
    <t>MAGLIFICIO GRILLO - SOCIETA' A RESPONSABILITA' LIMITATA IN FORMA ABBREVIATA MAGLIFICIO GRILLO S.R.L.</t>
  </si>
  <si>
    <t>00341810307</t>
  </si>
  <si>
    <t>IT00341810307</t>
  </si>
  <si>
    <t>2973.</t>
  </si>
  <si>
    <t>INTIMERI S.R.L.</t>
  </si>
  <si>
    <t>04044430983</t>
  </si>
  <si>
    <t>IT04044430983</t>
  </si>
  <si>
    <t>2974.</t>
  </si>
  <si>
    <t>IMA CASHMERE.IT S.R.L.</t>
  </si>
  <si>
    <t>03471990543</t>
  </si>
  <si>
    <t>IT03471990543</t>
  </si>
  <si>
    <t>2975.</t>
  </si>
  <si>
    <t>CARIM S.R.L.</t>
  </si>
  <si>
    <t>01194270441</t>
  </si>
  <si>
    <t>IT01194270441</t>
  </si>
  <si>
    <t>2976.</t>
  </si>
  <si>
    <t>DRESS S.R.L.</t>
  </si>
  <si>
    <t>03467740282</t>
  </si>
  <si>
    <t>IT03467740282</t>
  </si>
  <si>
    <t>2977.</t>
  </si>
  <si>
    <t>MADA GROUP S.R.L.</t>
  </si>
  <si>
    <t>08203731214</t>
  </si>
  <si>
    <t>IT08203731214</t>
  </si>
  <si>
    <t>2978.</t>
  </si>
  <si>
    <t>LUCANA INTIMO SOCIETA' A RESPONSABILITA' LIMITATA SEMPLIFICATA</t>
  </si>
  <si>
    <t>02040130763</t>
  </si>
  <si>
    <t>IT02040130763</t>
  </si>
  <si>
    <t>Potenza</t>
  </si>
  <si>
    <t>Basilicata</t>
  </si>
  <si>
    <t>2979.</t>
  </si>
  <si>
    <t>CAMERUCCI S.R.L.</t>
  </si>
  <si>
    <t>02682240011</t>
  </si>
  <si>
    <t>IT02682240011</t>
  </si>
  <si>
    <t>2980.</t>
  </si>
  <si>
    <t>CALZIFICIO LUALDI S.R.L.</t>
  </si>
  <si>
    <t>00002860120</t>
  </si>
  <si>
    <t>IT00002860120</t>
  </si>
  <si>
    <t>2981.</t>
  </si>
  <si>
    <t>MUGELLO PROMOTIONAL SRL</t>
  </si>
  <si>
    <t>05033680488</t>
  </si>
  <si>
    <t>IT05033680488</t>
  </si>
  <si>
    <t>2982.</t>
  </si>
  <si>
    <t>DUE EFFE S.R.L.</t>
  </si>
  <si>
    <t>02349100137</t>
  </si>
  <si>
    <t>IT02349100137</t>
  </si>
  <si>
    <t>2983.</t>
  </si>
  <si>
    <t>NUOVA FLEX S.R.L.</t>
  </si>
  <si>
    <t>01555460508</t>
  </si>
  <si>
    <t>IT01555460508</t>
  </si>
  <si>
    <t>2984.</t>
  </si>
  <si>
    <t>Z STUDIO S.R.L.</t>
  </si>
  <si>
    <t>02541890410</t>
  </si>
  <si>
    <t>IT02541890410</t>
  </si>
  <si>
    <t>2985.</t>
  </si>
  <si>
    <t>RECORD S.R.L.</t>
  </si>
  <si>
    <t>01555740446</t>
  </si>
  <si>
    <t>IT01555740446</t>
  </si>
  <si>
    <t>2986.</t>
  </si>
  <si>
    <t>STEFY LINE S.R.L.</t>
  </si>
  <si>
    <t>01337250433</t>
  </si>
  <si>
    <t>IT01337250433</t>
  </si>
  <si>
    <t>2987.</t>
  </si>
  <si>
    <t>CLERICI &amp; BRAMBATI S.R.L.</t>
  </si>
  <si>
    <t>00434790127</t>
  </si>
  <si>
    <t>IT00434790127</t>
  </si>
  <si>
    <t>2988.</t>
  </si>
  <si>
    <t>TIEMME EXPORT - S.R.L.</t>
  </si>
  <si>
    <t>00495071201</t>
  </si>
  <si>
    <t>00511120354</t>
  </si>
  <si>
    <t>IT00511120354</t>
  </si>
  <si>
    <t>2989.</t>
  </si>
  <si>
    <t>F.LLI FERRARA S.R.L.</t>
  </si>
  <si>
    <t>01152160436</t>
  </si>
  <si>
    <t>IT01152160436</t>
  </si>
  <si>
    <t>2990.</t>
  </si>
  <si>
    <t>IMI S.R.L.</t>
  </si>
  <si>
    <t>02564520415</t>
  </si>
  <si>
    <t>IT02564520415</t>
  </si>
  <si>
    <t>2991.</t>
  </si>
  <si>
    <t>MARTON CALZATURE S.R.L.</t>
  </si>
  <si>
    <t>03939460618</t>
  </si>
  <si>
    <t>IT03939460618</t>
  </si>
  <si>
    <t>2992.</t>
  </si>
  <si>
    <t>G.S. COUTURE SOCIETA' A RESPONSABILITA' LIMITATA SEMPLIFICATA</t>
  </si>
  <si>
    <t>09375021210</t>
  </si>
  <si>
    <t>IT09375021210</t>
  </si>
  <si>
    <t>2993.</t>
  </si>
  <si>
    <t>PIEGHETTATURA PECORARI S.R.L.</t>
  </si>
  <si>
    <t>01790280364</t>
  </si>
  <si>
    <t>IT01790280364</t>
  </si>
  <si>
    <t>2994.</t>
  </si>
  <si>
    <t>PONTREMOLESI S.R.L.</t>
  </si>
  <si>
    <t>01850880483</t>
  </si>
  <si>
    <t>IT01850880483</t>
  </si>
  <si>
    <t>2995.</t>
  </si>
  <si>
    <t>ANNAB DIVISE S.R.L.</t>
  </si>
  <si>
    <t>02738170410</t>
  </si>
  <si>
    <t>IT02738170410</t>
  </si>
  <si>
    <t>2996.</t>
  </si>
  <si>
    <t>ALEA SHOES S.R.L.</t>
  </si>
  <si>
    <t>02396870467</t>
  </si>
  <si>
    <t>IT02396870467</t>
  </si>
  <si>
    <t>2997.</t>
  </si>
  <si>
    <t>ALEX 2000 S.R.L.</t>
  </si>
  <si>
    <t>00967720962</t>
  </si>
  <si>
    <t>09581000156</t>
  </si>
  <si>
    <t>IT09581000156</t>
  </si>
  <si>
    <t>2998.</t>
  </si>
  <si>
    <t>GRUPPO TES.MED. S.R.L. UNIPERSONALE</t>
  </si>
  <si>
    <t>07140090726</t>
  </si>
  <si>
    <t>IT07140090726</t>
  </si>
  <si>
    <t>2999.</t>
  </si>
  <si>
    <t>CONCERIA PRIMA S.R.L.</t>
  </si>
  <si>
    <t>00333000503</t>
  </si>
  <si>
    <t>IT00333000503</t>
  </si>
  <si>
    <t>3000.</t>
  </si>
  <si>
    <t>FASHION POINT S.R.L.</t>
  </si>
  <si>
    <t>01561470707</t>
  </si>
  <si>
    <t>IT01561470707</t>
  </si>
  <si>
    <t>Campobasso</t>
  </si>
  <si>
    <t>Molise</t>
  </si>
  <si>
    <t>3001.</t>
  </si>
  <si>
    <t>PAOLO SEMERARO S.R.L.</t>
  </si>
  <si>
    <t>07582030727</t>
  </si>
  <si>
    <t>IT07582030727</t>
  </si>
  <si>
    <t>3002.</t>
  </si>
  <si>
    <t>DIEFFE S.R.L.</t>
  </si>
  <si>
    <t>01929770764</t>
  </si>
  <si>
    <t>IT01929770764</t>
  </si>
  <si>
    <t>3003.</t>
  </si>
  <si>
    <t>S.R.L. LEU LOCATI</t>
  </si>
  <si>
    <t>03664510157</t>
  </si>
  <si>
    <t>IT03664510157</t>
  </si>
  <si>
    <t>3004.</t>
  </si>
  <si>
    <t>RB26 S.R.L.</t>
  </si>
  <si>
    <t>02503060465</t>
  </si>
  <si>
    <t>IT02503060465</t>
  </si>
  <si>
    <t>3005.</t>
  </si>
  <si>
    <t>PAVI GROUP S.R.L.</t>
  </si>
  <si>
    <t>01960130696</t>
  </si>
  <si>
    <t>IT01960130696</t>
  </si>
  <si>
    <t>3006.</t>
  </si>
  <si>
    <t>P. &amp; C. ITALIA SOCIETA' A RESPONSABILITA' LIMITATA IN SIGLA P. &amp; C. ITALIA S.R.L.</t>
  </si>
  <si>
    <t>05964891211</t>
  </si>
  <si>
    <t>IT05964891211</t>
  </si>
  <si>
    <t>3007.</t>
  </si>
  <si>
    <t>MAGLIFICIO PEDONE S.R.L. A CAPITALE RIDOTTO</t>
  </si>
  <si>
    <t>04545270755</t>
  </si>
  <si>
    <t>IT04545270755</t>
  </si>
  <si>
    <t>3008.</t>
  </si>
  <si>
    <t>LAKE S.R.L.</t>
  </si>
  <si>
    <t>03555930985</t>
  </si>
  <si>
    <t>IT03555930985</t>
  </si>
  <si>
    <t>3009.</t>
  </si>
  <si>
    <t>F.LLI BERNARDINI S.R.L.</t>
  </si>
  <si>
    <t>00435100441</t>
  </si>
  <si>
    <t>IT00435100441</t>
  </si>
  <si>
    <t>3010.</t>
  </si>
  <si>
    <t>TOSCANA MIGNON SOCIETA' A RESPONSABILITA' LIMITATA</t>
  </si>
  <si>
    <t>02388150514</t>
  </si>
  <si>
    <t>IT02388150514</t>
  </si>
  <si>
    <t>3011.</t>
  </si>
  <si>
    <t>J P M - S.R.L. CON UNICO SOCIO</t>
  </si>
  <si>
    <t>02367810468</t>
  </si>
  <si>
    <t>IT02367810468</t>
  </si>
  <si>
    <t>3012.</t>
  </si>
  <si>
    <t>IDEA S.R.L.S.</t>
  </si>
  <si>
    <t>02239730506</t>
  </si>
  <si>
    <t>IT02239730506</t>
  </si>
  <si>
    <t>3013.</t>
  </si>
  <si>
    <t>CALZATURIFICIO FAUZIAN JEUNESSE - S.R.L</t>
  </si>
  <si>
    <t>01447720440</t>
  </si>
  <si>
    <t>IT01447720440</t>
  </si>
  <si>
    <t>3014.</t>
  </si>
  <si>
    <t>M.G. FASHION SOCIETA' A RESPONSABILITA' LIMITATA</t>
  </si>
  <si>
    <t>02443820739</t>
  </si>
  <si>
    <t>IT02443820739</t>
  </si>
  <si>
    <t>3015.</t>
  </si>
  <si>
    <t>RISERVA SRL</t>
  </si>
  <si>
    <t>01126540267</t>
  </si>
  <si>
    <t>IT01126540267</t>
  </si>
  <si>
    <t>3016.</t>
  </si>
  <si>
    <t>VARESE RETTILI PELLETTERIA S.R.L.</t>
  </si>
  <si>
    <t>02660230125</t>
  </si>
  <si>
    <t>IT02660230125</t>
  </si>
  <si>
    <t>3017.</t>
  </si>
  <si>
    <t>LM FASHION S.R.L.</t>
  </si>
  <si>
    <t>02862550643</t>
  </si>
  <si>
    <t>IT02862550643</t>
  </si>
  <si>
    <t>3018.</t>
  </si>
  <si>
    <t>DIMOTEX SOCIETA' A RESPONSABILITA' LIMITATA SEMPLIFICATA</t>
  </si>
  <si>
    <t>01302270770</t>
  </si>
  <si>
    <t>IT01302270770</t>
  </si>
  <si>
    <t>Matera</t>
  </si>
  <si>
    <t>3019.</t>
  </si>
  <si>
    <t>FERPANT S.R.L</t>
  </si>
  <si>
    <t>05881610652</t>
  </si>
  <si>
    <t>IT05881610652</t>
  </si>
  <si>
    <t>3020.</t>
  </si>
  <si>
    <t>M.T. TREND FASHION FACTORY S.R.L.</t>
  </si>
  <si>
    <t>03028030165</t>
  </si>
  <si>
    <t>IT03028030165</t>
  </si>
  <si>
    <t>3021.</t>
  </si>
  <si>
    <t>CENTRO BEL FURS DIFFUSIONE PELLICCE S.R.L.</t>
  </si>
  <si>
    <t>02299611208</t>
  </si>
  <si>
    <t>IT02299611208</t>
  </si>
  <si>
    <t>3022.</t>
  </si>
  <si>
    <t>SPECIAL ZIPPER S.R.L.S.</t>
  </si>
  <si>
    <t>01967240472</t>
  </si>
  <si>
    <t>IT01967240472</t>
  </si>
  <si>
    <t>3023.</t>
  </si>
  <si>
    <t>OKINAWA OPERATIONS SRL UNIPERSONALE</t>
  </si>
  <si>
    <t>05057460288</t>
  </si>
  <si>
    <t>IT05057460288</t>
  </si>
  <si>
    <t>3024.</t>
  </si>
  <si>
    <t>SARIPEL &amp; CO. S.R.L.</t>
  </si>
  <si>
    <t>01323910479</t>
  </si>
  <si>
    <t>IT01323910479</t>
  </si>
  <si>
    <t>141900</t>
  </si>
  <si>
    <t>3025.</t>
  </si>
  <si>
    <t>SPAZIO MODA - S.R.L.</t>
  </si>
  <si>
    <t>01063130197</t>
  </si>
  <si>
    <t>IT01063130197</t>
  </si>
  <si>
    <t>3026.</t>
  </si>
  <si>
    <t>ROVER - S.R.L.</t>
  </si>
  <si>
    <t>00434110060</t>
  </si>
  <si>
    <t>IT00434110060</t>
  </si>
  <si>
    <t>Alessandria</t>
  </si>
  <si>
    <t>3027.</t>
  </si>
  <si>
    <t>AQUARELLE S.R.L.</t>
  </si>
  <si>
    <t>00927850131</t>
  </si>
  <si>
    <t>IT00927850131</t>
  </si>
  <si>
    <t>3028.</t>
  </si>
  <si>
    <t>LIFE INTIMO S.R.L.</t>
  </si>
  <si>
    <t>04421770720</t>
  </si>
  <si>
    <t>IT04421770720</t>
  </si>
  <si>
    <t>3029.</t>
  </si>
  <si>
    <t>LONGINO D'URSO 1.0 S.R.L.</t>
  </si>
  <si>
    <t>02320430644</t>
  </si>
  <si>
    <t>IT02320430644</t>
  </si>
  <si>
    <t>3030.</t>
  </si>
  <si>
    <t>GREEN LIFE CALZATURE S.R.L.</t>
  </si>
  <si>
    <t>02648280390</t>
  </si>
  <si>
    <t>IT02648280390</t>
  </si>
  <si>
    <t>3031.</t>
  </si>
  <si>
    <t>MIM'S MODA S.R.L.</t>
  </si>
  <si>
    <t>02361550979</t>
  </si>
  <si>
    <t>IT02361550979</t>
  </si>
  <si>
    <t>3032.</t>
  </si>
  <si>
    <t>CALZATURIFICIO NEW GISAB DI BUONO SALVATORE S.R.L.</t>
  </si>
  <si>
    <t>03202660720</t>
  </si>
  <si>
    <t>IT03202660720</t>
  </si>
  <si>
    <t>3033.</t>
  </si>
  <si>
    <t>VELA S.R.L.</t>
  </si>
  <si>
    <t>01287630295</t>
  </si>
  <si>
    <t>IT01287630295</t>
  </si>
  <si>
    <t>3034.</t>
  </si>
  <si>
    <t>EUROFUR S.R.L.</t>
  </si>
  <si>
    <t>01309160503</t>
  </si>
  <si>
    <t>IT01309160503</t>
  </si>
  <si>
    <t>3035.</t>
  </si>
  <si>
    <t>ARCTE S.R.L.</t>
  </si>
  <si>
    <t>08348080725</t>
  </si>
  <si>
    <t>IT08348080725</t>
  </si>
  <si>
    <t>3036.</t>
  </si>
  <si>
    <t>I.S.A. S.R.L.</t>
  </si>
  <si>
    <t>02429970755</t>
  </si>
  <si>
    <t>IT02429970755</t>
  </si>
  <si>
    <t>3037.</t>
  </si>
  <si>
    <t>MANIFATTURE ST.A.R. S.R.L.</t>
  </si>
  <si>
    <t>07531250723</t>
  </si>
  <si>
    <t>IT07531250723</t>
  </si>
  <si>
    <t>3038.</t>
  </si>
  <si>
    <t>ERREDI TESS S.R.L.</t>
  </si>
  <si>
    <t>00972600290</t>
  </si>
  <si>
    <t>IT00972600290</t>
  </si>
  <si>
    <t>3039.</t>
  </si>
  <si>
    <t>STESON S.R.L.</t>
  </si>
  <si>
    <t>01257180420</t>
  </si>
  <si>
    <t>IT01257180420</t>
  </si>
  <si>
    <t>3040.</t>
  </si>
  <si>
    <t>BEMA S.R.L.</t>
  </si>
  <si>
    <t>03368410241</t>
  </si>
  <si>
    <t>IT03368410241</t>
  </si>
  <si>
    <t>3041.</t>
  </si>
  <si>
    <t>CINTURINI DI ARIGNANO SRL</t>
  </si>
  <si>
    <t>05993670016</t>
  </si>
  <si>
    <t>IT05993670016</t>
  </si>
  <si>
    <t>3042.</t>
  </si>
  <si>
    <t>APEX S.R.L.</t>
  </si>
  <si>
    <t>01849280126</t>
  </si>
  <si>
    <t>IT01849280126</t>
  </si>
  <si>
    <t>3043.</t>
  </si>
  <si>
    <t>C 3 V S.R.L.</t>
  </si>
  <si>
    <t>04088220720</t>
  </si>
  <si>
    <t>IT04088220720</t>
  </si>
  <si>
    <t>3044.</t>
  </si>
  <si>
    <t>CARNAVAL QUEEN S.R.L.</t>
  </si>
  <si>
    <t>02548210125</t>
  </si>
  <si>
    <t>IT02548210125</t>
  </si>
  <si>
    <t>3045.</t>
  </si>
  <si>
    <t>CONCERIA N.C.L. SOCIETA' A RESPONSABILITA' LIMITATA</t>
  </si>
  <si>
    <t>01902230646</t>
  </si>
  <si>
    <t>IT01902230646</t>
  </si>
  <si>
    <t>3046.</t>
  </si>
  <si>
    <t>CARLETTI FASHION S.R.L.</t>
  </si>
  <si>
    <t>02465060743</t>
  </si>
  <si>
    <t>IT02465060743</t>
  </si>
  <si>
    <t>3047.</t>
  </si>
  <si>
    <t>MESH S.R.L.</t>
  </si>
  <si>
    <t>01987440433</t>
  </si>
  <si>
    <t>IT01987440433</t>
  </si>
  <si>
    <t>3048.</t>
  </si>
  <si>
    <t>DAMA COMPANY S.R.L.</t>
  </si>
  <si>
    <t>02164660033</t>
  </si>
  <si>
    <t>IT02164660033</t>
  </si>
  <si>
    <t>3049.</t>
  </si>
  <si>
    <t>EN.ZI.MA S.R.L.</t>
  </si>
  <si>
    <t>05659580483</t>
  </si>
  <si>
    <t>IT05659580483</t>
  </si>
  <si>
    <t>3050.</t>
  </si>
  <si>
    <t>CALZATURIFICIO CAPPELLI S.R.L.</t>
  </si>
  <si>
    <t>00087700472</t>
  </si>
  <si>
    <t>IT00087700472</t>
  </si>
  <si>
    <t>3051.</t>
  </si>
  <si>
    <t>COMPLIT S.R.L.</t>
  </si>
  <si>
    <t>01231930445</t>
  </si>
  <si>
    <t>IT01231930445</t>
  </si>
  <si>
    <t>3052.</t>
  </si>
  <si>
    <t>TO FIT COMPANY SRL</t>
  </si>
  <si>
    <t>04277190247</t>
  </si>
  <si>
    <t>IT04277190247</t>
  </si>
  <si>
    <t>3053.</t>
  </si>
  <si>
    <t>PELLETTERIE SANT'AGOSTINO S.R.L.</t>
  </si>
  <si>
    <t>11918010155</t>
  </si>
  <si>
    <t>IT11918010155</t>
  </si>
  <si>
    <t>3054.</t>
  </si>
  <si>
    <t>ITALIAN FASHION COMPANY SRL IN SIGLA I.F.C.</t>
  </si>
  <si>
    <t>02020380032</t>
  </si>
  <si>
    <t>IT02020380032</t>
  </si>
  <si>
    <t>3055.</t>
  </si>
  <si>
    <t>ANGELETTI GROUP S.R.L.</t>
  </si>
  <si>
    <t>02169740442</t>
  </si>
  <si>
    <t>IT02169740442</t>
  </si>
  <si>
    <t>3056.</t>
  </si>
  <si>
    <t>MASIERO CONFEZIONI S.R.L.</t>
  </si>
  <si>
    <t>00259830271</t>
  </si>
  <si>
    <t>IT00259830271</t>
  </si>
  <si>
    <t>3057.</t>
  </si>
  <si>
    <t>DUE CI S.R.L.</t>
  </si>
  <si>
    <t>02498590542</t>
  </si>
  <si>
    <t>IT02498590542</t>
  </si>
  <si>
    <t>3058.</t>
  </si>
  <si>
    <t>MEDIATEX S.R.L.</t>
  </si>
  <si>
    <t>05207971218</t>
  </si>
  <si>
    <t>IT05207971218</t>
  </si>
  <si>
    <t>3059.</t>
  </si>
  <si>
    <t>CALZATURIFICIO PAMAR SOCIETA' A RESPONSABILITA' LIMITATA IN BREVE CALZATURIFICIO PAMAR S.R.L.</t>
  </si>
  <si>
    <t>01500110471</t>
  </si>
  <si>
    <t>IT01500110471</t>
  </si>
  <si>
    <t>3060.</t>
  </si>
  <si>
    <t>NICCOLI S.R.L.</t>
  </si>
  <si>
    <t>04888220482</t>
  </si>
  <si>
    <t>IT04888220482</t>
  </si>
  <si>
    <t>3061.</t>
  </si>
  <si>
    <t>CONFEZIONI ECCLESIASTICHE PANAROTTO S.R.L. SIGLA: CONFEZIONI ECCLESIASTICHE S.R.L.</t>
  </si>
  <si>
    <t>03615840240</t>
  </si>
  <si>
    <t>IT03615840240</t>
  </si>
  <si>
    <t>3062.</t>
  </si>
  <si>
    <t>CINTURIFICIO BRESCIANO S.R.L.</t>
  </si>
  <si>
    <t>00274410174</t>
  </si>
  <si>
    <t>IT00274410174</t>
  </si>
  <si>
    <t>3063.</t>
  </si>
  <si>
    <t>G&amp;Q SOCIETA' A RESPONSABILITA' LIMITATA SEMPLIFICATA</t>
  </si>
  <si>
    <t>02392520447</t>
  </si>
  <si>
    <t>IT02392520447</t>
  </si>
  <si>
    <t>3064.</t>
  </si>
  <si>
    <t>E.GI. SRL</t>
  </si>
  <si>
    <t>01421200435</t>
  </si>
  <si>
    <t>IT01421200435</t>
  </si>
  <si>
    <t>3065.</t>
  </si>
  <si>
    <t>VIOLA RASATURA PELLI S.R.L.</t>
  </si>
  <si>
    <t>02271660504</t>
  </si>
  <si>
    <t>IT02271660504</t>
  </si>
  <si>
    <t>3066.</t>
  </si>
  <si>
    <t>LE FILANDE S.R.L. - CON UN UNICO SOCIO</t>
  </si>
  <si>
    <t>03019610272</t>
  </si>
  <si>
    <t>IT03019610272</t>
  </si>
  <si>
    <t>3067.</t>
  </si>
  <si>
    <t>G.A.S. GROUP SOCIETA' A RESPONSABILITA' LIMITATA</t>
  </si>
  <si>
    <t>06951270484</t>
  </si>
  <si>
    <t>IT06951270484</t>
  </si>
  <si>
    <t>3068.</t>
  </si>
  <si>
    <t>GIFRAL S.R.L.</t>
  </si>
  <si>
    <t>05935291210</t>
  </si>
  <si>
    <t>IT05935291210</t>
  </si>
  <si>
    <t>3069.</t>
  </si>
  <si>
    <t>SUNSHINE FASHION S.R.L.</t>
  </si>
  <si>
    <t>02442440976</t>
  </si>
  <si>
    <t>IT02442440976</t>
  </si>
  <si>
    <t>3070.</t>
  </si>
  <si>
    <t>SUOLIFICIO ORMA S.R.L.</t>
  </si>
  <si>
    <t>05008351214</t>
  </si>
  <si>
    <t>IT05008351214</t>
  </si>
  <si>
    <t>3071.</t>
  </si>
  <si>
    <t>CONFEZIONE CALI' DI FALCETTA &amp; C. SRL</t>
  </si>
  <si>
    <t>00366060127</t>
  </si>
  <si>
    <t>IT00366060127</t>
  </si>
  <si>
    <t>3072.</t>
  </si>
  <si>
    <t>CREDO S.R.L.</t>
  </si>
  <si>
    <t>04060380401</t>
  </si>
  <si>
    <t>IT04060380401</t>
  </si>
  <si>
    <t>3073.</t>
  </si>
  <si>
    <t>TACCHIFICIO BERDINI S.R.L.</t>
  </si>
  <si>
    <t>01569770439</t>
  </si>
  <si>
    <t>IT01569770439</t>
  </si>
  <si>
    <t>3074.</t>
  </si>
  <si>
    <t>ISTITUTO ORTOPEDICO PICENO S.R.L.</t>
  </si>
  <si>
    <t>02098530443</t>
  </si>
  <si>
    <t>IT02098530443</t>
  </si>
  <si>
    <t>3075.</t>
  </si>
  <si>
    <t>DORICA VESTIS SRL</t>
  </si>
  <si>
    <t>02446770428</t>
  </si>
  <si>
    <t>IT02446770428</t>
  </si>
  <si>
    <t>3076.</t>
  </si>
  <si>
    <t>CARIDEI BROS.GLOVES SRL</t>
  </si>
  <si>
    <t>08886531212</t>
  </si>
  <si>
    <t>IT08886531212</t>
  </si>
  <si>
    <t>3077.</t>
  </si>
  <si>
    <t>ROBERTA TONINI S.R.L.</t>
  </si>
  <si>
    <t>03671400244</t>
  </si>
  <si>
    <t>IT03671400244</t>
  </si>
  <si>
    <t>3078.</t>
  </si>
  <si>
    <t>CALZIFICIO NEGRISOLI S.R.L.</t>
  </si>
  <si>
    <t>00627040207</t>
  </si>
  <si>
    <t>IT00627040207</t>
  </si>
  <si>
    <t>3079.</t>
  </si>
  <si>
    <t>PRONTO PELLI S.R.L.</t>
  </si>
  <si>
    <t>02611440641</t>
  </si>
  <si>
    <t>IT02611440641</t>
  </si>
  <si>
    <t>3080.</t>
  </si>
  <si>
    <t>DISTRIBUZIONE TESSILE S.R.L.</t>
  </si>
  <si>
    <t>07909010725</t>
  </si>
  <si>
    <t>IT07909010725</t>
  </si>
  <si>
    <t>3081.</t>
  </si>
  <si>
    <t>TINO VIVIANI SARTORIA S.R.L.</t>
  </si>
  <si>
    <t>02431570023</t>
  </si>
  <si>
    <t>IT02431570023</t>
  </si>
  <si>
    <t>Vercelli</t>
  </si>
  <si>
    <t>3082.</t>
  </si>
  <si>
    <t>NORDOVEST S.R.L.</t>
  </si>
  <si>
    <t>10106430019</t>
  </si>
  <si>
    <t>IT10106430019</t>
  </si>
  <si>
    <t>3083.</t>
  </si>
  <si>
    <t>MANIFATTURA FERMANA SRL</t>
  </si>
  <si>
    <t>01327310445</t>
  </si>
  <si>
    <t>IT01327310445</t>
  </si>
  <si>
    <t>3084.</t>
  </si>
  <si>
    <t>GUANTI GIGLIO FIORENTINO S.R.L.</t>
  </si>
  <si>
    <t>05370760489</t>
  </si>
  <si>
    <t>IT05370760489</t>
  </si>
  <si>
    <t>3085.</t>
  </si>
  <si>
    <t>CONFEZIONI ALEXANDER S.R.L.</t>
  </si>
  <si>
    <t>03314160403</t>
  </si>
  <si>
    <t>IT03314160403</t>
  </si>
  <si>
    <t>3086.</t>
  </si>
  <si>
    <t>MICIO SOCIETA' A RESPONSABILITA' LIMITATA SEMPLIFICATA</t>
  </si>
  <si>
    <t>04726360284</t>
  </si>
  <si>
    <t>IT04726360284</t>
  </si>
  <si>
    <t>3087.</t>
  </si>
  <si>
    <t>GI &amp; GI ICE FASHION SRL</t>
  </si>
  <si>
    <t>11937750013</t>
  </si>
  <si>
    <t>IT11937750013</t>
  </si>
  <si>
    <t>3088.</t>
  </si>
  <si>
    <t>CORBARA - S.R.L.</t>
  </si>
  <si>
    <t>03314600655</t>
  </si>
  <si>
    <t>IT03314600655</t>
  </si>
  <si>
    <t>3089.</t>
  </si>
  <si>
    <t>VINCI UOMO S.R.L.</t>
  </si>
  <si>
    <t>04527190153</t>
  </si>
  <si>
    <t>IT04527190153</t>
  </si>
  <si>
    <t>3090.</t>
  </si>
  <si>
    <t>E.S. WEARING SERVICE S.R.L. IN FORMA ABBREVIATA E.S.W.S. S.R.L.</t>
  </si>
  <si>
    <t>04187330230</t>
  </si>
  <si>
    <t>IT04187330230</t>
  </si>
  <si>
    <t>3091.</t>
  </si>
  <si>
    <t>CONFEZIONI ELEGANT S.R.L.</t>
  </si>
  <si>
    <t>00431150424</t>
  </si>
  <si>
    <t>IT00431150424</t>
  </si>
  <si>
    <t>3092.</t>
  </si>
  <si>
    <t>SANTERASMOCINQUE S.R.L.</t>
  </si>
  <si>
    <t>06830240963</t>
  </si>
  <si>
    <t>IT06830240963</t>
  </si>
  <si>
    <t>3093.</t>
  </si>
  <si>
    <t>FANTASY 2000 S.R.L.</t>
  </si>
  <si>
    <t>03707641217</t>
  </si>
  <si>
    <t>IT03707641217</t>
  </si>
  <si>
    <t>3094.</t>
  </si>
  <si>
    <t>PARICOP S.R.L.</t>
  </si>
  <si>
    <t>01583170426</t>
  </si>
  <si>
    <t>IT01583170426</t>
  </si>
  <si>
    <t>3095.</t>
  </si>
  <si>
    <t>SHOES &amp; SHOES SOCIETA' A RESPONSABILITA' LIMITATA</t>
  </si>
  <si>
    <t>03511870614</t>
  </si>
  <si>
    <t>IT03511870614</t>
  </si>
  <si>
    <t>3096.</t>
  </si>
  <si>
    <t>ITALIAN FASHION PATTERNS S.R.L.</t>
  </si>
  <si>
    <t>04135630244</t>
  </si>
  <si>
    <t>IT04135630244</t>
  </si>
  <si>
    <t>3097.</t>
  </si>
  <si>
    <t>TARTABINI E NASINI S.R.L.</t>
  </si>
  <si>
    <t>00872910443</t>
  </si>
  <si>
    <t>IT00872910443</t>
  </si>
  <si>
    <t>3098.</t>
  </si>
  <si>
    <t>MS SERVIZI S.R.L.</t>
  </si>
  <si>
    <t>04253550232</t>
  </si>
  <si>
    <t>IT04253550232</t>
  </si>
  <si>
    <t>3099.</t>
  </si>
  <si>
    <t>SANTARELLI SARTORIA SOCIETA' A RESPONSABILITA' LIMITATA</t>
  </si>
  <si>
    <t>07815270728</t>
  </si>
  <si>
    <t>IT07815270728</t>
  </si>
  <si>
    <t>3100.</t>
  </si>
  <si>
    <t>PARENTINI BIKE WEAR S.R.L.</t>
  </si>
  <si>
    <t>01584880502</t>
  </si>
  <si>
    <t>IT01584880502</t>
  </si>
  <si>
    <t>3101.</t>
  </si>
  <si>
    <t>MAGLIFICIO DORI S.R.L.</t>
  </si>
  <si>
    <t>00621580125</t>
  </si>
  <si>
    <t>IT00621580125</t>
  </si>
  <si>
    <t>3102.</t>
  </si>
  <si>
    <t>SPAFIL S.R.L.</t>
  </si>
  <si>
    <t>02247400738</t>
  </si>
  <si>
    <t>IT02247400738</t>
  </si>
  <si>
    <t>3103.</t>
  </si>
  <si>
    <t>LAPEC SUN S.R.L.</t>
  </si>
  <si>
    <t>01744640507</t>
  </si>
  <si>
    <t>IT01744640507</t>
  </si>
  <si>
    <t>3104.</t>
  </si>
  <si>
    <t>MA.MA. SOCIETA' A RESPONSABILITA' LIMITATA SEMPLIFICATA</t>
  </si>
  <si>
    <t>01932060674</t>
  </si>
  <si>
    <t>IT01932060674</t>
  </si>
  <si>
    <t>3105.</t>
  </si>
  <si>
    <t>LONGO &amp; C. S.R.L.</t>
  </si>
  <si>
    <t>03417430240</t>
  </si>
  <si>
    <t>IT03417430240</t>
  </si>
  <si>
    <t>3106.</t>
  </si>
  <si>
    <t>HAND LINE COMPANY S.R.L.</t>
  </si>
  <si>
    <t>02050010129</t>
  </si>
  <si>
    <t>IT02050010129</t>
  </si>
  <si>
    <t>3107.</t>
  </si>
  <si>
    <t>COPE.S S.R.L.</t>
  </si>
  <si>
    <t>02229120544</t>
  </si>
  <si>
    <t>IT02229120544</t>
  </si>
  <si>
    <t>3108.</t>
  </si>
  <si>
    <t>LANIFICIO DELL'ORSO - S.R.L.</t>
  </si>
  <si>
    <t>02108750023</t>
  </si>
  <si>
    <t>IT02108750023</t>
  </si>
  <si>
    <t>Biella</t>
  </si>
  <si>
    <t>3109.</t>
  </si>
  <si>
    <t>KOSTYLE S.R.L.</t>
  </si>
  <si>
    <t>04218940262</t>
  </si>
  <si>
    <t>IT04218940262</t>
  </si>
  <si>
    <t>3110.</t>
  </si>
  <si>
    <t>PALM PEL S.R.L.</t>
  </si>
  <si>
    <t>07891101219</t>
  </si>
  <si>
    <t>IT07891101219</t>
  </si>
  <si>
    <t>3111.</t>
  </si>
  <si>
    <t>ERREDI S.R.L.</t>
  </si>
  <si>
    <t>02339530905</t>
  </si>
  <si>
    <t>IT02339530905</t>
  </si>
  <si>
    <t>Sassari</t>
  </si>
  <si>
    <t>3112.</t>
  </si>
  <si>
    <t>G. &amp; G. CONFEZIONI S.R.L.</t>
  </si>
  <si>
    <t>00506700541</t>
  </si>
  <si>
    <t>IT00506700541</t>
  </si>
  <si>
    <t>3113.</t>
  </si>
  <si>
    <t>BACK LABEL S.R.L.</t>
  </si>
  <si>
    <t>03759760162</t>
  </si>
  <si>
    <t>IT03759760162</t>
  </si>
  <si>
    <t>3114.</t>
  </si>
  <si>
    <t>CAMICERIA AGATEX SRL</t>
  </si>
  <si>
    <t>10758580152</t>
  </si>
  <si>
    <t>00220430169</t>
  </si>
  <si>
    <t>IT00220430169</t>
  </si>
  <si>
    <t>3115.</t>
  </si>
  <si>
    <t>RI &amp; CO S.R.L.</t>
  </si>
  <si>
    <t>04001510165</t>
  </si>
  <si>
    <t>IT04001510165</t>
  </si>
  <si>
    <t>3116.</t>
  </si>
  <si>
    <t>RODI S.R.L.</t>
  </si>
  <si>
    <t>00344790431</t>
  </si>
  <si>
    <t>IT00344790431</t>
  </si>
  <si>
    <t>3117.</t>
  </si>
  <si>
    <t>BI MODA SRL</t>
  </si>
  <si>
    <t>04494180278</t>
  </si>
  <si>
    <t>IT04494180278</t>
  </si>
  <si>
    <t>3118.</t>
  </si>
  <si>
    <t>MARTINA GROUP S.R.L.</t>
  </si>
  <si>
    <t>06164001213</t>
  </si>
  <si>
    <t>IT06164001213</t>
  </si>
  <si>
    <t>3119.</t>
  </si>
  <si>
    <t>MELANY-VY SRL</t>
  </si>
  <si>
    <t>04016400618</t>
  </si>
  <si>
    <t>IT04016400618</t>
  </si>
  <si>
    <t>3120.</t>
  </si>
  <si>
    <t>K LEATHERS S.R.L.</t>
  </si>
  <si>
    <t>01901620508</t>
  </si>
  <si>
    <t>IT01901620508</t>
  </si>
  <si>
    <t>3121.</t>
  </si>
  <si>
    <t>MALTESE LAB SRL</t>
  </si>
  <si>
    <t>00542860366</t>
  </si>
  <si>
    <t>IT00542860366</t>
  </si>
  <si>
    <t>3122.</t>
  </si>
  <si>
    <t>ARCADIA SRL</t>
  </si>
  <si>
    <t>04828820268</t>
  </si>
  <si>
    <t>IT04828820268</t>
  </si>
  <si>
    <t>3123.</t>
  </si>
  <si>
    <t>FARFALLA SRL</t>
  </si>
  <si>
    <t>02381660428</t>
  </si>
  <si>
    <t>IT02381660428</t>
  </si>
  <si>
    <t>3124.</t>
  </si>
  <si>
    <t>MANZOLI SRL</t>
  </si>
  <si>
    <t>09893220153</t>
  </si>
  <si>
    <t>IT09893220153</t>
  </si>
  <si>
    <t>3125.</t>
  </si>
  <si>
    <t>ERREPI - S.R.L. -</t>
  </si>
  <si>
    <t>01511640466</t>
  </si>
  <si>
    <t>IT01511640466</t>
  </si>
  <si>
    <t>3126.</t>
  </si>
  <si>
    <t>DAVIDE PELLETTERIA NADA S.R.L.</t>
  </si>
  <si>
    <t>09065921216</t>
  </si>
  <si>
    <t>IT09065921216</t>
  </si>
  <si>
    <t>3127.</t>
  </si>
  <si>
    <t>FIORDALISO S.R.L.</t>
  </si>
  <si>
    <t>04389620271</t>
  </si>
  <si>
    <t>IT04389620271</t>
  </si>
  <si>
    <t>3128.</t>
  </si>
  <si>
    <t>TIMAR SRL</t>
  </si>
  <si>
    <t>02364920443</t>
  </si>
  <si>
    <t>IT02364920443</t>
  </si>
  <si>
    <t>3129.</t>
  </si>
  <si>
    <t>R.I.T.A. M.O.D.E. S.R.L.</t>
  </si>
  <si>
    <t>08912751214</t>
  </si>
  <si>
    <t>IT08912751214</t>
  </si>
  <si>
    <t>3130.</t>
  </si>
  <si>
    <t>ELE S.R.L.</t>
  </si>
  <si>
    <t>01716790462</t>
  </si>
  <si>
    <t>IT01716790462</t>
  </si>
  <si>
    <t>3131.</t>
  </si>
  <si>
    <t>BRAJDA S.R.L.</t>
  </si>
  <si>
    <t>01986770749</t>
  </si>
  <si>
    <t>IT01986770749</t>
  </si>
  <si>
    <t>3132.</t>
  </si>
  <si>
    <t>VE.BA. S.R.L.</t>
  </si>
  <si>
    <t>01990070979</t>
  </si>
  <si>
    <t>IT01990070979</t>
  </si>
  <si>
    <t>3133.</t>
  </si>
  <si>
    <t>B.S.R. S.R.L.</t>
  </si>
  <si>
    <t>01872500408</t>
  </si>
  <si>
    <t>IT01872500408</t>
  </si>
  <si>
    <t>3134.</t>
  </si>
  <si>
    <t>GREAT BEAR S.R.L.</t>
  </si>
  <si>
    <t>01348710441</t>
  </si>
  <si>
    <t>IT01348710441</t>
  </si>
  <si>
    <t>3135.</t>
  </si>
  <si>
    <t>FILTEX MANIFATTURA SERICA NOVARESE S.R.L.</t>
  </si>
  <si>
    <t>07342070013</t>
  </si>
  <si>
    <t>00109650036</t>
  </si>
  <si>
    <t>IT00109650036</t>
  </si>
  <si>
    <t>3136.</t>
  </si>
  <si>
    <t>PETER FLOWERS S.R.L.</t>
  </si>
  <si>
    <t>03709330272</t>
  </si>
  <si>
    <t>IT03709330272</t>
  </si>
  <si>
    <t>3137.</t>
  </si>
  <si>
    <t>12THMAN S.R.L.</t>
  </si>
  <si>
    <t>03203751205</t>
  </si>
  <si>
    <t>IT03203751205</t>
  </si>
  <si>
    <t>3138.</t>
  </si>
  <si>
    <t>MAGLIFICIO ROSSELLA SRL</t>
  </si>
  <si>
    <t>03441200130</t>
  </si>
  <si>
    <t>IT03441200130</t>
  </si>
  <si>
    <t>Lecco</t>
  </si>
  <si>
    <t>3139.</t>
  </si>
  <si>
    <t>GIGLIOROSSO S.R.L.</t>
  </si>
  <si>
    <t>03547830368</t>
  </si>
  <si>
    <t>IT03547830368</t>
  </si>
  <si>
    <t>3140.</t>
  </si>
  <si>
    <t>STYLE TEX SRL</t>
  </si>
  <si>
    <t>02537690691</t>
  </si>
  <si>
    <t>IT02537690691</t>
  </si>
  <si>
    <t>3141.</t>
  </si>
  <si>
    <t>DIAGOS MANIFATTURE S.R.L.</t>
  </si>
  <si>
    <t>04643010277</t>
  </si>
  <si>
    <t>IT04643010277</t>
  </si>
  <si>
    <t>3142.</t>
  </si>
  <si>
    <t>CAMICERIA FIORENTINA SRL</t>
  </si>
  <si>
    <t>02076270517</t>
  </si>
  <si>
    <t>IT02076270517</t>
  </si>
  <si>
    <t>3143.</t>
  </si>
  <si>
    <t>BALLANZA S.R.L.</t>
  </si>
  <si>
    <t>00873500508</t>
  </si>
  <si>
    <t>IT00873500508</t>
  </si>
  <si>
    <t>3144.</t>
  </si>
  <si>
    <t>FF S.R.L.</t>
  </si>
  <si>
    <t>08244090968</t>
  </si>
  <si>
    <t>IT08244090968</t>
  </si>
  <si>
    <t>3145.</t>
  </si>
  <si>
    <t>F.LLI CUCCO S.R.L.</t>
  </si>
  <si>
    <t>01628970434</t>
  </si>
  <si>
    <t>IT01628970434</t>
  </si>
  <si>
    <t>3146.</t>
  </si>
  <si>
    <t>L.I.P. S.R.L.</t>
  </si>
  <si>
    <t>08738320962</t>
  </si>
  <si>
    <t>IT08738320962</t>
  </si>
  <si>
    <t>3147.</t>
  </si>
  <si>
    <t>A.R.T. TEXTILE S.R.L.</t>
  </si>
  <si>
    <t>03600020139</t>
  </si>
  <si>
    <t>IT03600020139</t>
  </si>
  <si>
    <t>3148.</t>
  </si>
  <si>
    <t>FORMULA SHOES SOCIETA' A RESPONSABILITA' LIMITATA SEMPLIFICATA</t>
  </si>
  <si>
    <t>02284390446</t>
  </si>
  <si>
    <t>IT02284390446</t>
  </si>
  <si>
    <t>3149.</t>
  </si>
  <si>
    <t>EFFEG S.R.L.</t>
  </si>
  <si>
    <t>03777870134</t>
  </si>
  <si>
    <t>IT03777870134</t>
  </si>
  <si>
    <t>3150.</t>
  </si>
  <si>
    <t>SANDA GROUP S.R.L.</t>
  </si>
  <si>
    <t>01012040448</t>
  </si>
  <si>
    <t>IT01012040448</t>
  </si>
  <si>
    <t>3151.</t>
  </si>
  <si>
    <t>SALVALAGLIO CONFEZIONI S.R.L.</t>
  </si>
  <si>
    <t>00897250155</t>
  </si>
  <si>
    <t>IT00897250155</t>
  </si>
  <si>
    <t>Lodi</t>
  </si>
  <si>
    <t>3152.</t>
  </si>
  <si>
    <t>CERESOLI ALBINA S.R.L.</t>
  </si>
  <si>
    <t>02258310164</t>
  </si>
  <si>
    <t>IT02258310164</t>
  </si>
  <si>
    <t>3153.</t>
  </si>
  <si>
    <t>IBERT SOCIETA' A RESPONSABILITA' LIMITATA</t>
  </si>
  <si>
    <t>04158900482</t>
  </si>
  <si>
    <t>IT04158900482</t>
  </si>
  <si>
    <t>3154.</t>
  </si>
  <si>
    <t>WOOL STREET S.R.L.</t>
  </si>
  <si>
    <t>03498430366</t>
  </si>
  <si>
    <t>IT03498430366</t>
  </si>
  <si>
    <t>3155.</t>
  </si>
  <si>
    <t>ROBERTA GANDOLFI S.R.L.</t>
  </si>
  <si>
    <t>01681211205</t>
  </si>
  <si>
    <t>IT01681211205</t>
  </si>
  <si>
    <t>3156.</t>
  </si>
  <si>
    <t>LABORATORI ARTIGIANI SRL</t>
  </si>
  <si>
    <t>03459420984</t>
  </si>
  <si>
    <t>IT03459420984</t>
  </si>
  <si>
    <t>3157.</t>
  </si>
  <si>
    <t>MAESTRIA ITALIANA SRL</t>
  </si>
  <si>
    <t>03638860985</t>
  </si>
  <si>
    <t>IT03638860985</t>
  </si>
  <si>
    <t>3158.</t>
  </si>
  <si>
    <t>MDV S.R.L.</t>
  </si>
  <si>
    <t>05689760659</t>
  </si>
  <si>
    <t>IT05689760659</t>
  </si>
  <si>
    <t>3159.</t>
  </si>
  <si>
    <t>GR10K S.R.L.</t>
  </si>
  <si>
    <t>03608370122</t>
  </si>
  <si>
    <t>IT03608370122</t>
  </si>
  <si>
    <t>3160.</t>
  </si>
  <si>
    <t>PELLETTERIA PARTENOPE S.R.L.</t>
  </si>
  <si>
    <t>08860401218</t>
  </si>
  <si>
    <t>IT08860401218</t>
  </si>
  <si>
    <t>3161.</t>
  </si>
  <si>
    <t>CINTURIFICIO JESSY GROUP S.R.L.</t>
  </si>
  <si>
    <t>03426510362</t>
  </si>
  <si>
    <t>IT03426510362</t>
  </si>
  <si>
    <t>3162.</t>
  </si>
  <si>
    <t>NEW SWING - SOCIETA' A RESPONSABILITA' LIMITATA IN SIGLA NEW SWING S.R.L.</t>
  </si>
  <si>
    <t>01785970441</t>
  </si>
  <si>
    <t>IT01785970441</t>
  </si>
  <si>
    <t>3163.</t>
  </si>
  <si>
    <t>L.G. S.R.L.</t>
  </si>
  <si>
    <t>01213770470</t>
  </si>
  <si>
    <t>IT01213770470</t>
  </si>
  <si>
    <t>3164.</t>
  </si>
  <si>
    <t>MIVANIA S.R.L.</t>
  </si>
  <si>
    <t>02517280547</t>
  </si>
  <si>
    <t>IT02517280547</t>
  </si>
  <si>
    <t>3165.</t>
  </si>
  <si>
    <t>MARIO BALDRIGHI S.R.L.</t>
  </si>
  <si>
    <t>02347600963</t>
  </si>
  <si>
    <t>IT02347600963</t>
  </si>
  <si>
    <t>3166.</t>
  </si>
  <si>
    <t>CAMICERIA ROEL SRL</t>
  </si>
  <si>
    <t>01604850675</t>
  </si>
  <si>
    <t>IT01604850675</t>
  </si>
  <si>
    <t>3167.</t>
  </si>
  <si>
    <t>COOL FARM S.R.L.</t>
  </si>
  <si>
    <t>06457100482</t>
  </si>
  <si>
    <t>IT06457100482</t>
  </si>
  <si>
    <t>3168.</t>
  </si>
  <si>
    <t>XAVIER S.R.L.</t>
  </si>
  <si>
    <t>00966860942</t>
  </si>
  <si>
    <t>IT00966860942</t>
  </si>
  <si>
    <t>3169.</t>
  </si>
  <si>
    <t>KASUCCI S.R.L.</t>
  </si>
  <si>
    <t>03587600721</t>
  </si>
  <si>
    <t>IT03587600721</t>
  </si>
  <si>
    <t>3170.</t>
  </si>
  <si>
    <t>MADEINBO S.R.L.</t>
  </si>
  <si>
    <t>02532620461</t>
  </si>
  <si>
    <t>IT02532620461</t>
  </si>
  <si>
    <t>3171.</t>
  </si>
  <si>
    <t>INTERNATIONAL COMPANY SERVICES S.R.L. BREVEMENTE I.C.S. S.R.L.</t>
  </si>
  <si>
    <t>01359680665</t>
  </si>
  <si>
    <t>IT01359680665</t>
  </si>
  <si>
    <t>3172.</t>
  </si>
  <si>
    <t>NOOS DI SARA LANZI S.R.L.</t>
  </si>
  <si>
    <t>03407900541</t>
  </si>
  <si>
    <t>IT03407900541</t>
  </si>
  <si>
    <t>3173.</t>
  </si>
  <si>
    <t>BULLISH S.U.R.L.</t>
  </si>
  <si>
    <t>04134750753</t>
  </si>
  <si>
    <t>IT04134750753</t>
  </si>
  <si>
    <t>3174.</t>
  </si>
  <si>
    <t>ATLANTIDE S.R.L.</t>
  </si>
  <si>
    <t>01554710507</t>
  </si>
  <si>
    <t>IT01554710507</t>
  </si>
  <si>
    <t>3175.</t>
  </si>
  <si>
    <t>TIEMME S.R.L.</t>
  </si>
  <si>
    <t>01964360281</t>
  </si>
  <si>
    <t>IT01964360281</t>
  </si>
  <si>
    <t>3176.</t>
  </si>
  <si>
    <t>ANACONDA - S.R.L.</t>
  </si>
  <si>
    <t>00926080508</t>
  </si>
  <si>
    <t>IT00926080508</t>
  </si>
  <si>
    <t>3177.</t>
  </si>
  <si>
    <t>PIEFFE CONFEZIONI SRL</t>
  </si>
  <si>
    <t>06597320487</t>
  </si>
  <si>
    <t>IT06597320487</t>
  </si>
  <si>
    <t>3178.</t>
  </si>
  <si>
    <t>MARENZ S.R.L</t>
  </si>
  <si>
    <t>02456640693</t>
  </si>
  <si>
    <t>IT02456640693</t>
  </si>
  <si>
    <t>3179.</t>
  </si>
  <si>
    <t>PROGETTO MAGLIA - S.R.L.</t>
  </si>
  <si>
    <t>04201490481</t>
  </si>
  <si>
    <t>IT04201490481</t>
  </si>
  <si>
    <t>3180.</t>
  </si>
  <si>
    <t>MIRACH S.R.L.- UNIPERSONALE</t>
  </si>
  <si>
    <t>04636310288</t>
  </si>
  <si>
    <t>IT04636310288</t>
  </si>
  <si>
    <t>3181.</t>
  </si>
  <si>
    <t>DI BIASE GROUP SRL</t>
  </si>
  <si>
    <t>03728131214</t>
  </si>
  <si>
    <t>IT03728131214</t>
  </si>
  <si>
    <t>3182.</t>
  </si>
  <si>
    <t>CALZATURIFICIO RUGIATI S.R.L.</t>
  </si>
  <si>
    <t>01009740489</t>
  </si>
  <si>
    <t>IT01009740489</t>
  </si>
  <si>
    <t>3183.</t>
  </si>
  <si>
    <t>MARY SHOES SRL</t>
  </si>
  <si>
    <t>03827230545</t>
  </si>
  <si>
    <t>IT03827230545</t>
  </si>
  <si>
    <t>3184.</t>
  </si>
  <si>
    <t>VERVEN S.R.L.</t>
  </si>
  <si>
    <t>02248060978</t>
  </si>
  <si>
    <t>IT02248060978</t>
  </si>
  <si>
    <t>3185.</t>
  </si>
  <si>
    <t>ENNE ELLE S.R.L.</t>
  </si>
  <si>
    <t>01940530361</t>
  </si>
  <si>
    <t>IT01940530361</t>
  </si>
  <si>
    <t>3186.</t>
  </si>
  <si>
    <t>L.D.S. LABORATORIO DELLO SPORT SRL DI DANIELE CAPACCIOLI - SOCIETA' A RESPONSABILITA' LIMITATA UNINOMINALE</t>
  </si>
  <si>
    <t>05588530484</t>
  </si>
  <si>
    <t>IT05588530484</t>
  </si>
  <si>
    <t>3187.</t>
  </si>
  <si>
    <t>FUTURE SERVICE SRL</t>
  </si>
  <si>
    <t>04059590267</t>
  </si>
  <si>
    <t>IT04059590267</t>
  </si>
  <si>
    <t>3188.</t>
  </si>
  <si>
    <t>STEFANO BEMER S.R.L.</t>
  </si>
  <si>
    <t>06321030485</t>
  </si>
  <si>
    <t>IT06321030485</t>
  </si>
  <si>
    <t>3189.</t>
  </si>
  <si>
    <t>TRANCERIA ITALY SHOES S.R.L.</t>
  </si>
  <si>
    <t>02979950645</t>
  </si>
  <si>
    <t>IT02979950645</t>
  </si>
  <si>
    <t>3190.</t>
  </si>
  <si>
    <t>CONFEZIONI BARBON SRL</t>
  </si>
  <si>
    <t>00898770268</t>
  </si>
  <si>
    <t>IT00898770268</t>
  </si>
  <si>
    <t>3191.</t>
  </si>
  <si>
    <t>PFL MODA S.R.L.</t>
  </si>
  <si>
    <t>07586410727</t>
  </si>
  <si>
    <t>IT07586410727</t>
  </si>
  <si>
    <t>3192.</t>
  </si>
  <si>
    <t>CONTESSA 3C - SOCIETA' COOPERATIVA PER AZIONI (IN SIGLA CONTESSA 3C S.C.P.A.</t>
  </si>
  <si>
    <t>01615830542</t>
  </si>
  <si>
    <t>IT01615830542</t>
  </si>
  <si>
    <t>3193.</t>
  </si>
  <si>
    <t>CALZIFICIO BIASCO S.R.L.</t>
  </si>
  <si>
    <t>03648030751</t>
  </si>
  <si>
    <t>IT03648030751</t>
  </si>
  <si>
    <t>3194.</t>
  </si>
  <si>
    <t>POGGIANTI 1958 S.R.L.</t>
  </si>
  <si>
    <t>02094740509</t>
  </si>
  <si>
    <t>IT02094740509</t>
  </si>
  <si>
    <t>3195.</t>
  </si>
  <si>
    <t>GDA GROUP S.R.L.</t>
  </si>
  <si>
    <t>06810150828</t>
  </si>
  <si>
    <t>IT06810150828</t>
  </si>
  <si>
    <t>Palermo</t>
  </si>
  <si>
    <t>3196.</t>
  </si>
  <si>
    <t>PELLETTERIE PALAZZOLESI S.R.L.</t>
  </si>
  <si>
    <t>00960050169</t>
  </si>
  <si>
    <t>00777790171</t>
  </si>
  <si>
    <t>IT00777790171</t>
  </si>
  <si>
    <t>3197.</t>
  </si>
  <si>
    <t>SO.GI.GER SHOES S.R.L.</t>
  </si>
  <si>
    <t>05505720655</t>
  </si>
  <si>
    <t>IT05505720655</t>
  </si>
  <si>
    <t>3198.</t>
  </si>
  <si>
    <t>STUDIO 64 S.R.L.</t>
  </si>
  <si>
    <t>03795720758</t>
  </si>
  <si>
    <t>IT03795720758</t>
  </si>
  <si>
    <t>3199.</t>
  </si>
  <si>
    <t>SPALLINIFICIO TOSCANO S.R.L.</t>
  </si>
  <si>
    <t>01030830481</t>
  </si>
  <si>
    <t>IT01030830481</t>
  </si>
  <si>
    <t>3200.</t>
  </si>
  <si>
    <t>SIMONA B. COLLECTION'S SRL</t>
  </si>
  <si>
    <t>02493090365</t>
  </si>
  <si>
    <t>IT02493090365</t>
  </si>
  <si>
    <t>3201.</t>
  </si>
  <si>
    <t>CESARE BAROLI 1947 S.R.L.</t>
  </si>
  <si>
    <t>02544260033</t>
  </si>
  <si>
    <t>IT02544260033</t>
  </si>
  <si>
    <t>Novara</t>
  </si>
  <si>
    <t>3202.</t>
  </si>
  <si>
    <t>ITALIAN BRANDS S.R.L.</t>
  </si>
  <si>
    <t>06794010725</t>
  </si>
  <si>
    <t>IT06794010725</t>
  </si>
  <si>
    <t>3203.</t>
  </si>
  <si>
    <t>GALM S.R.L.</t>
  </si>
  <si>
    <t>01788610440</t>
  </si>
  <si>
    <t>IT01788610440</t>
  </si>
  <si>
    <t>3204.</t>
  </si>
  <si>
    <t>NAZZARENO ACCIARRI SRL</t>
  </si>
  <si>
    <t>02109840443</t>
  </si>
  <si>
    <t>IT02109840443</t>
  </si>
  <si>
    <t>3205.</t>
  </si>
  <si>
    <t>D.V.L. SRL</t>
  </si>
  <si>
    <t>03364520365</t>
  </si>
  <si>
    <t>IT03364520365</t>
  </si>
  <si>
    <t>3206.</t>
  </si>
  <si>
    <t>GALLI PELLETTERIE S.R.L.</t>
  </si>
  <si>
    <t>00985310671</t>
  </si>
  <si>
    <t>IT00985310671</t>
  </si>
  <si>
    <t>3207.</t>
  </si>
  <si>
    <t>03601890613</t>
  </si>
  <si>
    <t>IT03601890613</t>
  </si>
  <si>
    <t>3208.</t>
  </si>
  <si>
    <t>FRAJOR CONFEZIONI S.R.L.</t>
  </si>
  <si>
    <t>03637500137</t>
  </si>
  <si>
    <t>IT03637500137</t>
  </si>
  <si>
    <t>3209.</t>
  </si>
  <si>
    <t>ROSSI DA VINCI - S.R.L.</t>
  </si>
  <si>
    <t>01788080487</t>
  </si>
  <si>
    <t>IT01788080487</t>
  </si>
  <si>
    <t>3210.</t>
  </si>
  <si>
    <t>3 EMMME S.R.L.</t>
  </si>
  <si>
    <t>00699980124</t>
  </si>
  <si>
    <t>IT00699980124</t>
  </si>
  <si>
    <t>3211.</t>
  </si>
  <si>
    <t>CONCERIA FRATELLI PIERONI S.R.L.</t>
  </si>
  <si>
    <t>09731400017</t>
  </si>
  <si>
    <t>IT09731400017</t>
  </si>
  <si>
    <t>3212.</t>
  </si>
  <si>
    <t>SEVEN FOLD GLOBAL SRL</t>
  </si>
  <si>
    <t>07122300481</t>
  </si>
  <si>
    <t>IT07122300481</t>
  </si>
  <si>
    <t>3213.</t>
  </si>
  <si>
    <t>CORK LINE S.R.L.</t>
  </si>
  <si>
    <t>02089490540</t>
  </si>
  <si>
    <t>IT02089490540</t>
  </si>
  <si>
    <t>3214.</t>
  </si>
  <si>
    <t>EURO NARPELL S.R.L.</t>
  </si>
  <si>
    <t>03487280244</t>
  </si>
  <si>
    <t>IT03487280244</t>
  </si>
  <si>
    <t>3215.</t>
  </si>
  <si>
    <t>PIHER S.R.L.</t>
  </si>
  <si>
    <t>04585220280</t>
  </si>
  <si>
    <t>IT04585220280</t>
  </si>
  <si>
    <t>3216.</t>
  </si>
  <si>
    <t>MAGLIFICIO ES-LINE S.R.L.</t>
  </si>
  <si>
    <t>02063220970</t>
  </si>
  <si>
    <t>IT02063220970</t>
  </si>
  <si>
    <t>3217.</t>
  </si>
  <si>
    <t>CARA STYLE SRL</t>
  </si>
  <si>
    <t>06427380487</t>
  </si>
  <si>
    <t>IT06427380487</t>
  </si>
  <si>
    <t>3218.</t>
  </si>
  <si>
    <t>ARPEL ARTIGIANA PELLI SRL</t>
  </si>
  <si>
    <t>01778970242</t>
  </si>
  <si>
    <t>IT01778970242</t>
  </si>
  <si>
    <t>3219.</t>
  </si>
  <si>
    <t>JERBEL S.R.L.</t>
  </si>
  <si>
    <t>04255690721</t>
  </si>
  <si>
    <t>IT04255690721</t>
  </si>
  <si>
    <t>3220.</t>
  </si>
  <si>
    <t>BE SPORT S.R.L.</t>
  </si>
  <si>
    <t>05110890265</t>
  </si>
  <si>
    <t>IT05110890265</t>
  </si>
  <si>
    <t>3221.</t>
  </si>
  <si>
    <t>CU STYLE SRL</t>
  </si>
  <si>
    <t>04470700404</t>
  </si>
  <si>
    <t>IT04470700404</t>
  </si>
  <si>
    <t>3222.</t>
  </si>
  <si>
    <t>PLAYAMAR S.R.L.S.</t>
  </si>
  <si>
    <t>08326451211</t>
  </si>
  <si>
    <t>IT08326451211</t>
  </si>
  <si>
    <t>3223.</t>
  </si>
  <si>
    <t>MODA PARA' SRL</t>
  </si>
  <si>
    <t>03454520127</t>
  </si>
  <si>
    <t>IT03454520127</t>
  </si>
  <si>
    <t>3224.</t>
  </si>
  <si>
    <t>BOTTEGA 23 SRL</t>
  </si>
  <si>
    <t>02320620442</t>
  </si>
  <si>
    <t>IT02320620442</t>
  </si>
  <si>
    <t>3225.</t>
  </si>
  <si>
    <t>BEST LEATHER S.R.L.</t>
  </si>
  <si>
    <t>02502240977</t>
  </si>
  <si>
    <t>IT02502240977</t>
  </si>
  <si>
    <t>3226.</t>
  </si>
  <si>
    <t>MONTANARI S.R.L. - LA MAGLIERIA DI BAGNOLO IN PIANO</t>
  </si>
  <si>
    <t>01162400350</t>
  </si>
  <si>
    <t>IT01162400350</t>
  </si>
  <si>
    <t>3227.</t>
  </si>
  <si>
    <t>LA THUILE SRL</t>
  </si>
  <si>
    <t>02487400182</t>
  </si>
  <si>
    <t>IT02487400182</t>
  </si>
  <si>
    <t>3228.</t>
  </si>
  <si>
    <t>C.R. S.R.L.</t>
  </si>
  <si>
    <t>05321030487</t>
  </si>
  <si>
    <t>IT05321030487</t>
  </si>
  <si>
    <t>3229.</t>
  </si>
  <si>
    <t>ALTEREGO LAB S.R.L.</t>
  </si>
  <si>
    <t>06744340826</t>
  </si>
  <si>
    <t>IT06744340826</t>
  </si>
  <si>
    <t>3230.</t>
  </si>
  <si>
    <t>REVOLUTION COMPANY S.R.L.</t>
  </si>
  <si>
    <t>04456660275</t>
  </si>
  <si>
    <t>IT04456660275</t>
  </si>
  <si>
    <t>3231.</t>
  </si>
  <si>
    <t>NEW SERVICE S.R.L.</t>
  </si>
  <si>
    <t>02279180240</t>
  </si>
  <si>
    <t>IT02279180240</t>
  </si>
  <si>
    <t>3232.</t>
  </si>
  <si>
    <t>MAGLIFICIO GHIDOTTI S.R.L.</t>
  </si>
  <si>
    <t>03885490163</t>
  </si>
  <si>
    <t>IT03885490163</t>
  </si>
  <si>
    <t>3233.</t>
  </si>
  <si>
    <t>LAMURA CLUB S.R.L.</t>
  </si>
  <si>
    <t>01368560668</t>
  </si>
  <si>
    <t>IT01368560668</t>
  </si>
  <si>
    <t>3234.</t>
  </si>
  <si>
    <t>FORNITURE FABRIKA SRL</t>
  </si>
  <si>
    <t>09361191217</t>
  </si>
  <si>
    <t>IT09361191217</t>
  </si>
  <si>
    <t>3235.</t>
  </si>
  <si>
    <t>INTIMODRESS - ITALIA S.R.L.</t>
  </si>
  <si>
    <t>07644760725</t>
  </si>
  <si>
    <t>IT07644760725</t>
  </si>
  <si>
    <t>3236.</t>
  </si>
  <si>
    <t>MANIFATTURA MARCAL S.R.L.</t>
  </si>
  <si>
    <t>00651000986</t>
  </si>
  <si>
    <t>01733210171</t>
  </si>
  <si>
    <t>IT01733210171</t>
  </si>
  <si>
    <t>3237.</t>
  </si>
  <si>
    <t>LMP S.R.L.</t>
  </si>
  <si>
    <t>03642281202</t>
  </si>
  <si>
    <t>IT03642281202</t>
  </si>
  <si>
    <t>3238.</t>
  </si>
  <si>
    <t>DUEPAX S.R.L.</t>
  </si>
  <si>
    <t>01980150500</t>
  </si>
  <si>
    <t>IT01980150500</t>
  </si>
  <si>
    <t>3239.</t>
  </si>
  <si>
    <t>SOLETTIFICIO GUERRIERI S.R.L.</t>
  </si>
  <si>
    <t>02275430482</t>
  </si>
  <si>
    <t>IT02275430482</t>
  </si>
  <si>
    <t>3240.</t>
  </si>
  <si>
    <t>GENOVA MODA S.R.L.</t>
  </si>
  <si>
    <t>01848360994</t>
  </si>
  <si>
    <t>IT01848360994</t>
  </si>
  <si>
    <t>Genova</t>
  </si>
  <si>
    <t>Liguria</t>
  </si>
  <si>
    <t>3241.</t>
  </si>
  <si>
    <t>REIGN ITALIA S.R.L.</t>
  </si>
  <si>
    <t>02313260446</t>
  </si>
  <si>
    <t>IT02313260446</t>
  </si>
  <si>
    <t>3242.</t>
  </si>
  <si>
    <t>MABLA S.R.L.</t>
  </si>
  <si>
    <t>08163991212</t>
  </si>
  <si>
    <t>IT08163991212</t>
  </si>
  <si>
    <t>3243.</t>
  </si>
  <si>
    <t>GALLERANI FRANCA S.R.L.</t>
  </si>
  <si>
    <t>01700000381</t>
  </si>
  <si>
    <t>IT01700000381</t>
  </si>
  <si>
    <t>3244.</t>
  </si>
  <si>
    <t>DELSA S.R.L.</t>
  </si>
  <si>
    <t>00147170435</t>
  </si>
  <si>
    <t>IT00147170435</t>
  </si>
  <si>
    <t>3245.</t>
  </si>
  <si>
    <t>SARTORIA CRESCENTINI S.R.L.</t>
  </si>
  <si>
    <t>01231260413</t>
  </si>
  <si>
    <t>IT01231260413</t>
  </si>
  <si>
    <t>3246.</t>
  </si>
  <si>
    <t>GIEFFEA S.R.L.</t>
  </si>
  <si>
    <t>07865551217</t>
  </si>
  <si>
    <t>IT07865551217</t>
  </si>
  <si>
    <t>3247.</t>
  </si>
  <si>
    <t>PELLETTERIA ESPOSITO S.R.L.</t>
  </si>
  <si>
    <t>09705381219</t>
  </si>
  <si>
    <t>IT09705381219</t>
  </si>
  <si>
    <t>3248.</t>
  </si>
  <si>
    <t>AMELIA GROUP SRL</t>
  </si>
  <si>
    <t>04377530243</t>
  </si>
  <si>
    <t>IT04377530243</t>
  </si>
  <si>
    <t>3249.</t>
  </si>
  <si>
    <t>A &amp; R S.R.L.</t>
  </si>
  <si>
    <t>03932590619</t>
  </si>
  <si>
    <t>IT03932590619</t>
  </si>
  <si>
    <t>3250.</t>
  </si>
  <si>
    <t>SARTORIA CAVOUR S.R.L.</t>
  </si>
  <si>
    <t>04335420230</t>
  </si>
  <si>
    <t>IT04335420230</t>
  </si>
  <si>
    <t>3251.</t>
  </si>
  <si>
    <t>CARLO SALVATELLI S.R.L.</t>
  </si>
  <si>
    <t>02033320447</t>
  </si>
  <si>
    <t>IT02033320447</t>
  </si>
  <si>
    <t>3252.</t>
  </si>
  <si>
    <t>DM TIES - S.R.L.</t>
  </si>
  <si>
    <t>02983540655</t>
  </si>
  <si>
    <t>IT02983540655</t>
  </si>
  <si>
    <t>3253.</t>
  </si>
  <si>
    <t>RE ARTU' - S.R.L.</t>
  </si>
  <si>
    <t>03592550481</t>
  </si>
  <si>
    <t>IT03592550481</t>
  </si>
  <si>
    <t>3254.</t>
  </si>
  <si>
    <t>COLVA GROUP S.R.L.</t>
  </si>
  <si>
    <t>00576420384</t>
  </si>
  <si>
    <t>IT00576420384</t>
  </si>
  <si>
    <t>3255.</t>
  </si>
  <si>
    <t>DALCUORE S.R.L.</t>
  </si>
  <si>
    <t>08006721214</t>
  </si>
  <si>
    <t>IT08006721214</t>
  </si>
  <si>
    <t>3256.</t>
  </si>
  <si>
    <t>GALA GLOVES S.R.L. UNIPERSONALE</t>
  </si>
  <si>
    <t>04777351216</t>
  </si>
  <si>
    <t>IT04777351216</t>
  </si>
  <si>
    <t>3257.</t>
  </si>
  <si>
    <t>GJ S.R.L.S. - SOCIETA' A RESPONSABILITA' LIMITATA SEMPLIFICATA</t>
  </si>
  <si>
    <t>08467410729</t>
  </si>
  <si>
    <t>IT08467410729</t>
  </si>
  <si>
    <t>3258.</t>
  </si>
  <si>
    <t>RAFFAELLO BETTINI S.R.L.</t>
  </si>
  <si>
    <t>01714120480</t>
  </si>
  <si>
    <t>IT01714120480</t>
  </si>
  <si>
    <t>3259.</t>
  </si>
  <si>
    <t>NICAM SAFETY SOCIETA' A RESPONSABILITA' LIMITATA</t>
  </si>
  <si>
    <t>08460610721</t>
  </si>
  <si>
    <t>IT08460610721</t>
  </si>
  <si>
    <t>3260.</t>
  </si>
  <si>
    <t>KING LOOK SOCIETA' A RESPONSABILITA' LIMITATA SEMPLIFICATA</t>
  </si>
  <si>
    <t>04681520757</t>
  </si>
  <si>
    <t>IT04681520757</t>
  </si>
  <si>
    <t>3261.</t>
  </si>
  <si>
    <t>NEWLAD SRL</t>
  </si>
  <si>
    <t>01426240444</t>
  </si>
  <si>
    <t>IT01426240444</t>
  </si>
  <si>
    <t>3262.</t>
  </si>
  <si>
    <t>L.I.D.M.A.G. S.R.L.</t>
  </si>
  <si>
    <t>07383271215</t>
  </si>
  <si>
    <t>IT07383271215</t>
  </si>
  <si>
    <t>3263.</t>
  </si>
  <si>
    <t>ELTI SRL</t>
  </si>
  <si>
    <t>01679920437</t>
  </si>
  <si>
    <t>IT01679920437</t>
  </si>
  <si>
    <t>3264.</t>
  </si>
  <si>
    <t>PICARAZZI ABBIGLIAMENTO S.R.L.</t>
  </si>
  <si>
    <t>02571120605</t>
  </si>
  <si>
    <t>IT02571120605</t>
  </si>
  <si>
    <t>3265.</t>
  </si>
  <si>
    <t>STEFANO BLANDALEONE S.R.L.</t>
  </si>
  <si>
    <t>02206400067</t>
  </si>
  <si>
    <t>IT02206400067</t>
  </si>
  <si>
    <t>3266.</t>
  </si>
  <si>
    <t>GI.AN. S.R.L.</t>
  </si>
  <si>
    <t>07102800633</t>
  </si>
  <si>
    <t>IT07102800633</t>
  </si>
  <si>
    <t>3267.</t>
  </si>
  <si>
    <t>GRAZIANI CONFEZIONI S.R.L.</t>
  </si>
  <si>
    <t>02167440698</t>
  </si>
  <si>
    <t>IT02167440698</t>
  </si>
  <si>
    <t>3268.</t>
  </si>
  <si>
    <t>MARRAFFA MARCO S.R.L.</t>
  </si>
  <si>
    <t>04232550279</t>
  </si>
  <si>
    <t>IT04232550279</t>
  </si>
  <si>
    <t>3269.</t>
  </si>
  <si>
    <t>ITALIAN UNDERWEAR S.R.L.</t>
  </si>
  <si>
    <t>07164060720</t>
  </si>
  <si>
    <t>IT07164060720</t>
  </si>
  <si>
    <t>3270.</t>
  </si>
  <si>
    <t>CALZIFICIO SABER S.R.L.</t>
  </si>
  <si>
    <t>03670970981</t>
  </si>
  <si>
    <t>IT03670970981</t>
  </si>
  <si>
    <t>3271.</t>
  </si>
  <si>
    <t>DA.RI.PEL. DI DAVOLI A. &amp; C. - S.R.L.</t>
  </si>
  <si>
    <t>01213240359</t>
  </si>
  <si>
    <t>IT01213240359</t>
  </si>
  <si>
    <t>3272.</t>
  </si>
  <si>
    <t>DILIAR - S.R.L.</t>
  </si>
  <si>
    <t>00380680488</t>
  </si>
  <si>
    <t>IT00380680488</t>
  </si>
  <si>
    <t>3273.</t>
  </si>
  <si>
    <t>PAOLA CREAZIONI S.R.L.</t>
  </si>
  <si>
    <t>04719080725</t>
  </si>
  <si>
    <t>IT04719080725</t>
  </si>
  <si>
    <t>3274.</t>
  </si>
  <si>
    <t>ARTEL 2000 SRL</t>
  </si>
  <si>
    <t>03669331211</t>
  </si>
  <si>
    <t>IT03669331211</t>
  </si>
  <si>
    <t>3275.</t>
  </si>
  <si>
    <t>SOLETTIFICIO LILLIO - S.R.L.</t>
  </si>
  <si>
    <t>07010430630</t>
  </si>
  <si>
    <t>02642741215</t>
  </si>
  <si>
    <t>IT02642741215</t>
  </si>
  <si>
    <t>3276.</t>
  </si>
  <si>
    <t>MODIT INTERNATIONAL S.R.L.</t>
  </si>
  <si>
    <t>04312090261</t>
  </si>
  <si>
    <t>IT04312090261</t>
  </si>
  <si>
    <t>Gorizia</t>
  </si>
  <si>
    <t>3277.</t>
  </si>
  <si>
    <t>MAGLIFICIO SOFIA SRL</t>
  </si>
  <si>
    <t>03717030369</t>
  </si>
  <si>
    <t>IT03717030369</t>
  </si>
  <si>
    <t>3278.</t>
  </si>
  <si>
    <t>IGI S.R.L.</t>
  </si>
  <si>
    <t>04551170758</t>
  </si>
  <si>
    <t>IT04551170758</t>
  </si>
  <si>
    <t>3279.</t>
  </si>
  <si>
    <t>ERRECI GRUPPOMODA S.R.L.</t>
  </si>
  <si>
    <t>02355660750</t>
  </si>
  <si>
    <t>IT02355660750</t>
  </si>
  <si>
    <t>3280.</t>
  </si>
  <si>
    <t>MODAPEL S.R.L.</t>
  </si>
  <si>
    <t>02199780509</t>
  </si>
  <si>
    <t>IT02199780509</t>
  </si>
  <si>
    <t>3281.</t>
  </si>
  <si>
    <t>3F MODA SOCIETA' A RESPONSABILITA' LIMITATA SEMPLIFICATA</t>
  </si>
  <si>
    <t>03714870122</t>
  </si>
  <si>
    <t>IT03714870122</t>
  </si>
  <si>
    <t>3282.</t>
  </si>
  <si>
    <t>VIGANO' S.R.L.</t>
  </si>
  <si>
    <t>00734910961</t>
  </si>
  <si>
    <t>02462540150</t>
  </si>
  <si>
    <t>IT02462540150</t>
  </si>
  <si>
    <t>Reggio di Calabria</t>
  </si>
  <si>
    <t>Calabria</t>
  </si>
  <si>
    <t>3283.</t>
  </si>
  <si>
    <t>CARRARO S.R.L.</t>
  </si>
  <si>
    <t>01700720038</t>
  </si>
  <si>
    <t>IT01700720038</t>
  </si>
  <si>
    <t>3284.</t>
  </si>
  <si>
    <t>VANITY SOCIETA' A RESPONSABILITA' LIMITATA SEMPLIFICATA</t>
  </si>
  <si>
    <t>05533900873</t>
  </si>
  <si>
    <t>IT05533900873</t>
  </si>
  <si>
    <t>3285.</t>
  </si>
  <si>
    <t>F.LLI IPPOLITO S.R.L.</t>
  </si>
  <si>
    <t>07686240156</t>
  </si>
  <si>
    <t>IT07686240156</t>
  </si>
  <si>
    <t>3286.</t>
  </si>
  <si>
    <t>DESTRO S.R.L.</t>
  </si>
  <si>
    <t>02192570188</t>
  </si>
  <si>
    <t>IT02192570188</t>
  </si>
  <si>
    <t>3287.</t>
  </si>
  <si>
    <t>ORTOPEDIA LOCCI S.R.L.</t>
  </si>
  <si>
    <t>01516000914</t>
  </si>
  <si>
    <t>IT01516000914</t>
  </si>
  <si>
    <t>Nuoro</t>
  </si>
  <si>
    <t>3288.</t>
  </si>
  <si>
    <t>PAOLOROSSI GROUP SOCIETA' A RESPONSABILITA' LIMITATA</t>
  </si>
  <si>
    <t>02712940424</t>
  </si>
  <si>
    <t>IT02712940424</t>
  </si>
  <si>
    <t>3289.</t>
  </si>
  <si>
    <t>CONFEZIONI MOTTOLA S.R.L.</t>
  </si>
  <si>
    <t>08060530725</t>
  </si>
  <si>
    <t>IT08060530725</t>
  </si>
  <si>
    <t>3290.</t>
  </si>
  <si>
    <t>FONTANI S.R.L.</t>
  </si>
  <si>
    <t>05637940486</t>
  </si>
  <si>
    <t>IT05637940486</t>
  </si>
  <si>
    <t>3291.</t>
  </si>
  <si>
    <t>A.T.F. S.R.L.</t>
  </si>
  <si>
    <t>07731911215</t>
  </si>
  <si>
    <t>IT07731911215</t>
  </si>
  <si>
    <t>3292.</t>
  </si>
  <si>
    <t>FASHION SERVICE PRATO S.R.L.</t>
  </si>
  <si>
    <t>02480850979</t>
  </si>
  <si>
    <t>IT02480850979</t>
  </si>
  <si>
    <t>3293.</t>
  </si>
  <si>
    <t>BE FLORENCE SRL</t>
  </si>
  <si>
    <t>07051940489</t>
  </si>
  <si>
    <t>IT07051940489</t>
  </si>
  <si>
    <t>3294.</t>
  </si>
  <si>
    <t>FROG.MAN - SOCIETA' A RESPONSABILITA' LIMITATA</t>
  </si>
  <si>
    <t>02952770358</t>
  </si>
  <si>
    <t>IT02952770358</t>
  </si>
  <si>
    <t>3295.</t>
  </si>
  <si>
    <t>STUDIO MODA 83 S.R.L.</t>
  </si>
  <si>
    <t>02970260549</t>
  </si>
  <si>
    <t>IT02970260549</t>
  </si>
  <si>
    <t>3296.</t>
  </si>
  <si>
    <t>INSIDE COLLECTION S.R.L.</t>
  </si>
  <si>
    <t>01937510970</t>
  </si>
  <si>
    <t>IT01937510970</t>
  </si>
  <si>
    <t>3297.</t>
  </si>
  <si>
    <t>CHRIS CONFEZIONI SRL</t>
  </si>
  <si>
    <t>00719590986</t>
  </si>
  <si>
    <t>03020440172</t>
  </si>
  <si>
    <t>IT03020440172</t>
  </si>
  <si>
    <t>3298.</t>
  </si>
  <si>
    <t>NICKY S.R.L.</t>
  </si>
  <si>
    <t>01230030155</t>
  </si>
  <si>
    <t>IT01230030155</t>
  </si>
  <si>
    <t>3299.</t>
  </si>
  <si>
    <t>LA-RI S.R.L.</t>
  </si>
  <si>
    <t>01063360356</t>
  </si>
  <si>
    <t>IT01063360356</t>
  </si>
  <si>
    <t>3300.</t>
  </si>
  <si>
    <t>TALENT S.R.L.</t>
  </si>
  <si>
    <t>04581780261</t>
  </si>
  <si>
    <t>IT04581780261</t>
  </si>
  <si>
    <t>3301.</t>
  </si>
  <si>
    <t>CALZIFICIO PALATINO SOCIETA' A RESPONSABILITA' LIMITATA</t>
  </si>
  <si>
    <t>00877541003</t>
  </si>
  <si>
    <t>00393170584</t>
  </si>
  <si>
    <t>IT00393170584</t>
  </si>
  <si>
    <t>3302.</t>
  </si>
  <si>
    <t>JOAN NORD SHOES S.R.L.</t>
  </si>
  <si>
    <t>01615050984</t>
  </si>
  <si>
    <t>IT01615050984</t>
  </si>
  <si>
    <t>3303.</t>
  </si>
  <si>
    <t>STIGMATI E' LTD - SOCIETA' A RESPONSABILITA' LIMITATA</t>
  </si>
  <si>
    <t>04321751218</t>
  </si>
  <si>
    <t>IT04321751218</t>
  </si>
  <si>
    <t>3304.</t>
  </si>
  <si>
    <t>POZZI GROUP SRL</t>
  </si>
  <si>
    <t>00886350966</t>
  </si>
  <si>
    <t>08008780150</t>
  </si>
  <si>
    <t>IT08008780150</t>
  </si>
  <si>
    <t>3305.</t>
  </si>
  <si>
    <t>TP ITALIA S.R.L.</t>
  </si>
  <si>
    <t>09689380963</t>
  </si>
  <si>
    <t>IT09689380963</t>
  </si>
  <si>
    <t>3306.</t>
  </si>
  <si>
    <t>CLO-SER S.R.L.</t>
  </si>
  <si>
    <t>02177630510</t>
  </si>
  <si>
    <t>IT02177630510</t>
  </si>
  <si>
    <t>3307.</t>
  </si>
  <si>
    <t>M2F S.R.L.</t>
  </si>
  <si>
    <t>07046851213</t>
  </si>
  <si>
    <t>IT07046851213</t>
  </si>
  <si>
    <t>3308.</t>
  </si>
  <si>
    <t>FAUSTO COLATO S.R.L.</t>
  </si>
  <si>
    <t>05274830966</t>
  </si>
  <si>
    <t>IT05274830966</t>
  </si>
  <si>
    <t>3309.</t>
  </si>
  <si>
    <t>FASHION SEA S.R.L</t>
  </si>
  <si>
    <t>08183941213</t>
  </si>
  <si>
    <t>IT08183941213</t>
  </si>
  <si>
    <t>3310.</t>
  </si>
  <si>
    <t>FRATELLI GRIMALDI S.R.L.</t>
  </si>
  <si>
    <t>02187050154</t>
  </si>
  <si>
    <t>IT02187050154</t>
  </si>
  <si>
    <t>3311.</t>
  </si>
  <si>
    <t>CALZATURE V.F. ITALIA PRODUCTION SRL</t>
  </si>
  <si>
    <t>01954580443</t>
  </si>
  <si>
    <t>IT01954580443</t>
  </si>
  <si>
    <t>3312.</t>
  </si>
  <si>
    <t>LEATHER CONCEPTS SOCIETA' A RESPONSABILITA' LIMITATA</t>
  </si>
  <si>
    <t>02775820422</t>
  </si>
  <si>
    <t>IT02775820422</t>
  </si>
  <si>
    <t>3313.</t>
  </si>
  <si>
    <t>CONFEZIONI IRIS S.R.L.</t>
  </si>
  <si>
    <t>04553010168</t>
  </si>
  <si>
    <t>IT04553010168</t>
  </si>
  <si>
    <t>3314.</t>
  </si>
  <si>
    <t>VA.FRA. S.R.L. UNIPERSONALE</t>
  </si>
  <si>
    <t>02138850447</t>
  </si>
  <si>
    <t>IT02138850447</t>
  </si>
  <si>
    <t>3315.</t>
  </si>
  <si>
    <t>VICO CAROLI SRL</t>
  </si>
  <si>
    <t>01905960744</t>
  </si>
  <si>
    <t>IT01905960744</t>
  </si>
  <si>
    <t>3316.</t>
  </si>
  <si>
    <t>VOLATA S.R.L.</t>
  </si>
  <si>
    <t>04876060262</t>
  </si>
  <si>
    <t>IT04876060262</t>
  </si>
  <si>
    <t>3317.</t>
  </si>
  <si>
    <t>YANGHIROS S.R.L.</t>
  </si>
  <si>
    <t>00661111203</t>
  </si>
  <si>
    <t>03781990373</t>
  </si>
  <si>
    <t>IT03781990373</t>
  </si>
  <si>
    <t>3318.</t>
  </si>
  <si>
    <t>BOMBA S.R.L</t>
  </si>
  <si>
    <t>13360711009</t>
  </si>
  <si>
    <t>IT13360711009</t>
  </si>
  <si>
    <t>3319.</t>
  </si>
  <si>
    <t>CALOR S.R.L. DI XOMPERO GIULIETTO</t>
  </si>
  <si>
    <t>00171310246</t>
  </si>
  <si>
    <t>IT00171310246</t>
  </si>
  <si>
    <t>3320.</t>
  </si>
  <si>
    <t>PROGETTO MODA S.R.L.</t>
  </si>
  <si>
    <t>04329580288</t>
  </si>
  <si>
    <t>IT04329580288</t>
  </si>
  <si>
    <t>3321.</t>
  </si>
  <si>
    <t>ATUM SRL</t>
  </si>
  <si>
    <t>01827310440</t>
  </si>
  <si>
    <t>IT01827310440</t>
  </si>
  <si>
    <t>3322.</t>
  </si>
  <si>
    <t>MIMMA MODA S.R.L.</t>
  </si>
  <si>
    <t>01979100540</t>
  </si>
  <si>
    <t>IT01979100540</t>
  </si>
  <si>
    <t>3323.</t>
  </si>
  <si>
    <t>GLED S.R.L.</t>
  </si>
  <si>
    <t>03342630542</t>
  </si>
  <si>
    <t>IT03342630542</t>
  </si>
  <si>
    <t>3324.</t>
  </si>
  <si>
    <t>PARISI GLOVES S.R.L.</t>
  </si>
  <si>
    <t>03555571219</t>
  </si>
  <si>
    <t>IT03555571219</t>
  </si>
  <si>
    <t>3325.</t>
  </si>
  <si>
    <t>PIEMME S.R.L.</t>
  </si>
  <si>
    <t>08943951213</t>
  </si>
  <si>
    <t>IT08943951213</t>
  </si>
  <si>
    <t>3326.</t>
  </si>
  <si>
    <t>B &amp; B ITALIA S.R.L.</t>
  </si>
  <si>
    <t>06193460489</t>
  </si>
  <si>
    <t>IT06193460489</t>
  </si>
  <si>
    <t>3327.</t>
  </si>
  <si>
    <t>LABENS - S.R.L.</t>
  </si>
  <si>
    <t>01825260472</t>
  </si>
  <si>
    <t>IT01825260472</t>
  </si>
  <si>
    <t>3328.</t>
  </si>
  <si>
    <t>00863610275</t>
  </si>
  <si>
    <t>IT00863610275</t>
  </si>
  <si>
    <t>3329.</t>
  </si>
  <si>
    <t>GORDON CONFEZIONI S.R.L.</t>
  </si>
  <si>
    <t>02560910727</t>
  </si>
  <si>
    <t>IT02560910727</t>
  </si>
  <si>
    <t>3330.</t>
  </si>
  <si>
    <t>GALVAN SPOSA S.R.L.</t>
  </si>
  <si>
    <t>01565890207</t>
  </si>
  <si>
    <t>IT01565890207</t>
  </si>
  <si>
    <t>3331.</t>
  </si>
  <si>
    <t>ALTEX - SOCIETA A RESPONSABILITA LIMITATA</t>
  </si>
  <si>
    <t>01292601000</t>
  </si>
  <si>
    <t>04712570581</t>
  </si>
  <si>
    <t>IT04712570581</t>
  </si>
  <si>
    <t>3332.</t>
  </si>
  <si>
    <t>GIEMME FASHION SERVICE S.R.L.</t>
  </si>
  <si>
    <t>03702310248</t>
  </si>
  <si>
    <t>IT03702310248</t>
  </si>
  <si>
    <t>3333.</t>
  </si>
  <si>
    <t>MARA TAC S.R.L.</t>
  </si>
  <si>
    <t>01421160449</t>
  </si>
  <si>
    <t>IT01421160449</t>
  </si>
  <si>
    <t>3334.</t>
  </si>
  <si>
    <t>SANVENERO S.R.L.</t>
  </si>
  <si>
    <t>01698660097</t>
  </si>
  <si>
    <t>IT01698660097</t>
  </si>
  <si>
    <t>Savona</t>
  </si>
  <si>
    <t>3335.</t>
  </si>
  <si>
    <t>EXTREME DESIGN SRL</t>
  </si>
  <si>
    <t>02041350972</t>
  </si>
  <si>
    <t>IT02041350972</t>
  </si>
  <si>
    <t>3336.</t>
  </si>
  <si>
    <t>CRI.DA S.R.L.</t>
  </si>
  <si>
    <t>04416290163</t>
  </si>
  <si>
    <t>IT04416290163</t>
  </si>
  <si>
    <t>3337.</t>
  </si>
  <si>
    <t>CONFORT S.R.L.</t>
  </si>
  <si>
    <t>01041820760</t>
  </si>
  <si>
    <t>IT01041820760</t>
  </si>
  <si>
    <t>3338.</t>
  </si>
  <si>
    <t>EFFETTO LANA E COTONE S.R.L.</t>
  </si>
  <si>
    <t>02293350266</t>
  </si>
  <si>
    <t>IT02293350266</t>
  </si>
  <si>
    <t>3339.</t>
  </si>
  <si>
    <t>SC CALZE S.R.L.</t>
  </si>
  <si>
    <t>07749040726</t>
  </si>
  <si>
    <t>IT07749040726</t>
  </si>
  <si>
    <t>3340.</t>
  </si>
  <si>
    <t>SERALFRED TAGLIO S.R.L.</t>
  </si>
  <si>
    <t>02346300169</t>
  </si>
  <si>
    <t>IT02346300169</t>
  </si>
  <si>
    <t>3341.</t>
  </si>
  <si>
    <t>STILEITALIA S.R.L.</t>
  </si>
  <si>
    <t>04253710166</t>
  </si>
  <si>
    <t>IT04253710166</t>
  </si>
  <si>
    <t>3342.</t>
  </si>
  <si>
    <t>COFFINARDI &amp; DELPANNO INDUSTRIES SRL</t>
  </si>
  <si>
    <t>04044270983</t>
  </si>
  <si>
    <t>IT04044270983</t>
  </si>
  <si>
    <t>3343.</t>
  </si>
  <si>
    <t>EUROSPAL GROUP S.R.L.</t>
  </si>
  <si>
    <t>03236590364</t>
  </si>
  <si>
    <t>IT03236590364</t>
  </si>
  <si>
    <t>3344.</t>
  </si>
  <si>
    <t>CREAZIONI NIGI'S - S.R.L.</t>
  </si>
  <si>
    <t>01624830129</t>
  </si>
  <si>
    <t>IT01624830129</t>
  </si>
  <si>
    <t>3345.</t>
  </si>
  <si>
    <t>COME S.R.L.</t>
  </si>
  <si>
    <t>04522400284</t>
  </si>
  <si>
    <t>IT04522400284</t>
  </si>
  <si>
    <t>3346.</t>
  </si>
  <si>
    <t>CONFEZIONI RI.GI SPORT S.R.L.</t>
  </si>
  <si>
    <t>05477580723</t>
  </si>
  <si>
    <t>IT05477580723</t>
  </si>
  <si>
    <t>3347.</t>
  </si>
  <si>
    <t>DM SOCIETA' A RESPONSABILITA' LIMITATA ENUNCIABILE ANCHE DM SRL</t>
  </si>
  <si>
    <t>01386340440</t>
  </si>
  <si>
    <t>IT01386340440</t>
  </si>
  <si>
    <t>3348.</t>
  </si>
  <si>
    <t>CALZATURIFICIO PIACENTINI S.R.L.</t>
  </si>
  <si>
    <t>02447590460</t>
  </si>
  <si>
    <t>IT02447590460</t>
  </si>
  <si>
    <t>3349.</t>
  </si>
  <si>
    <t>LANIFICIO MARCHESIN S.R.L.</t>
  </si>
  <si>
    <t>01176510269</t>
  </si>
  <si>
    <t>IT01176510269</t>
  </si>
  <si>
    <t>3350.</t>
  </si>
  <si>
    <t>LAURORA S.R.L.</t>
  </si>
  <si>
    <t>02663510135</t>
  </si>
  <si>
    <t>IT02663510135</t>
  </si>
  <si>
    <t>3351.</t>
  </si>
  <si>
    <t>SARTORIA SILVIO ZANELLA S.R.L.</t>
  </si>
  <si>
    <t>00015870249</t>
  </si>
  <si>
    <t>IT00015870249</t>
  </si>
  <si>
    <t>3352.</t>
  </si>
  <si>
    <t>SCOLARO S.R.L.</t>
  </si>
  <si>
    <t>00101390441</t>
  </si>
  <si>
    <t>IT00101390441</t>
  </si>
  <si>
    <t>3353.</t>
  </si>
  <si>
    <t>ANTIDA S.R.L.</t>
  </si>
  <si>
    <t>02333090203</t>
  </si>
  <si>
    <t>IT02333090203</t>
  </si>
  <si>
    <t>3354.</t>
  </si>
  <si>
    <t>ALIS CREATION SOCIETA' A RESPONSABILITA' LIMITATA SEMPLIFICATA</t>
  </si>
  <si>
    <t>03356970545</t>
  </si>
  <si>
    <t>IT03356970545</t>
  </si>
  <si>
    <t>3355.</t>
  </si>
  <si>
    <t>B &amp; B S.R.L.</t>
  </si>
  <si>
    <t>07085981210</t>
  </si>
  <si>
    <t>IT07085981210</t>
  </si>
  <si>
    <t>3356.</t>
  </si>
  <si>
    <t>G.E.M.I. SRLS SOCIETA' A RESPONSABILITA' LIMITATA SEMPLIFICATA</t>
  </si>
  <si>
    <t>01562890291</t>
  </si>
  <si>
    <t>IT01562890291</t>
  </si>
  <si>
    <t>3357.</t>
  </si>
  <si>
    <t>LA DEA S.R.L.</t>
  </si>
  <si>
    <t>02495910974</t>
  </si>
  <si>
    <t>IT02495910974</t>
  </si>
  <si>
    <t>3358.</t>
  </si>
  <si>
    <t>VIRNA DRO' S.R.L.</t>
  </si>
  <si>
    <t>06688800488</t>
  </si>
  <si>
    <t>IT06688800488</t>
  </si>
  <si>
    <t>3359.</t>
  </si>
  <si>
    <t>OMBRETTA S.R.L.</t>
  </si>
  <si>
    <t>05220690480</t>
  </si>
  <si>
    <t>IT05220690480</t>
  </si>
  <si>
    <t>3360.</t>
  </si>
  <si>
    <t>MEVI SRL</t>
  </si>
  <si>
    <t>04311170403</t>
  </si>
  <si>
    <t>IT04311170403</t>
  </si>
  <si>
    <t>3361.</t>
  </si>
  <si>
    <t>PELLA SPORTSWEAR S.R.L.</t>
  </si>
  <si>
    <t>02653500021</t>
  </si>
  <si>
    <t>IT02653500021</t>
  </si>
  <si>
    <t>3362.</t>
  </si>
  <si>
    <t>DOLCI S.R.L. - UNIPERSONALE</t>
  </si>
  <si>
    <t>01926970987</t>
  </si>
  <si>
    <t>IT01926970987</t>
  </si>
  <si>
    <t>3363.</t>
  </si>
  <si>
    <t>PELLE ITALIA - S.R.L.</t>
  </si>
  <si>
    <t>02493360248</t>
  </si>
  <si>
    <t>01686680206</t>
  </si>
  <si>
    <t>IT01686680206</t>
  </si>
  <si>
    <t>3364.</t>
  </si>
  <si>
    <t>MANIFATTURE GEMO'S ITALIA S.R.L.</t>
  </si>
  <si>
    <t>04983580483</t>
  </si>
  <si>
    <t>IT04983580483</t>
  </si>
  <si>
    <t>3365.</t>
  </si>
  <si>
    <t>NOVEL ITALIA S.R.L.</t>
  </si>
  <si>
    <t>03758130714</t>
  </si>
  <si>
    <t>IT03758130714</t>
  </si>
  <si>
    <t>3366.</t>
  </si>
  <si>
    <t>PRIMA LINEA S.R.L.</t>
  </si>
  <si>
    <t>03460520244</t>
  </si>
  <si>
    <t>IT03460520244</t>
  </si>
  <si>
    <t>3367.</t>
  </si>
  <si>
    <t>PAOUL SRL</t>
  </si>
  <si>
    <t>04609750288</t>
  </si>
  <si>
    <t>IT04609750288</t>
  </si>
  <si>
    <t>3368.</t>
  </si>
  <si>
    <t>ALTER STUDIO S.R.L.</t>
  </si>
  <si>
    <t>04434070233</t>
  </si>
  <si>
    <t>IT04434070233</t>
  </si>
  <si>
    <t>3369.</t>
  </si>
  <si>
    <t>DELTA WEAR S.R.L.</t>
  </si>
  <si>
    <t>07829680631</t>
  </si>
  <si>
    <t>IT07829680631</t>
  </si>
  <si>
    <t>3370.</t>
  </si>
  <si>
    <t>PIELLEITALIA S.R.L.</t>
  </si>
  <si>
    <t>03264870167</t>
  </si>
  <si>
    <t>IT03264870167</t>
  </si>
  <si>
    <t>3371.</t>
  </si>
  <si>
    <t>MARGI S.R.L.</t>
  </si>
  <si>
    <t>00881140248</t>
  </si>
  <si>
    <t>IT00881140248</t>
  </si>
  <si>
    <t>3372.</t>
  </si>
  <si>
    <t>AMABILIA S.R.L. - UNIPERSONALE</t>
  </si>
  <si>
    <t>02849680240</t>
  </si>
  <si>
    <t>IT02849680240</t>
  </si>
  <si>
    <t>3373.</t>
  </si>
  <si>
    <t>CO.MI S.R.L.</t>
  </si>
  <si>
    <t>01688100153</t>
  </si>
  <si>
    <t>IT01688100153</t>
  </si>
  <si>
    <t>3374.</t>
  </si>
  <si>
    <t>ITAKA SRL</t>
  </si>
  <si>
    <t>04958250260</t>
  </si>
  <si>
    <t>IT04958250260</t>
  </si>
  <si>
    <t>3375.</t>
  </si>
  <si>
    <t>CALZATURIFICIO MEPRES S.R.L.</t>
  </si>
  <si>
    <t>02419200262</t>
  </si>
  <si>
    <t>IT02419200262</t>
  </si>
  <si>
    <t>3376.</t>
  </si>
  <si>
    <t>CONFEZIONI GIERRE S.R.L.</t>
  </si>
  <si>
    <t>01056160037</t>
  </si>
  <si>
    <t>IT01056160037</t>
  </si>
  <si>
    <t>3377.</t>
  </si>
  <si>
    <t>KING TARTUFOLI S.R.L.</t>
  </si>
  <si>
    <t>01834670430</t>
  </si>
  <si>
    <t>IT01834670430</t>
  </si>
  <si>
    <t>3378.</t>
  </si>
  <si>
    <t>WEST ROSE S.R.L. CON SOCIO UNICO</t>
  </si>
  <si>
    <t>10566480017</t>
  </si>
  <si>
    <t>IT10566480017</t>
  </si>
  <si>
    <t>3379.</t>
  </si>
  <si>
    <t>ROMITELLI SHOES SRL</t>
  </si>
  <si>
    <t>01692800434</t>
  </si>
  <si>
    <t>IT01692800434</t>
  </si>
  <si>
    <t>3380.</t>
  </si>
  <si>
    <t>FORCINITI S.R.L.</t>
  </si>
  <si>
    <t>02163690510</t>
  </si>
  <si>
    <t>IT02163690510</t>
  </si>
  <si>
    <t>3381.</t>
  </si>
  <si>
    <t>CONFEZIONI DVN S.R.L.</t>
  </si>
  <si>
    <t>04334580729</t>
  </si>
  <si>
    <t>IT04334580729</t>
  </si>
  <si>
    <t>3382.</t>
  </si>
  <si>
    <t>ITALIAN FASHION LAB S.R.L.</t>
  </si>
  <si>
    <t>03451150365</t>
  </si>
  <si>
    <t>IT03451150365</t>
  </si>
  <si>
    <t>3383.</t>
  </si>
  <si>
    <t>DOONEY &amp; BOURKE ITALIA S.R.L.</t>
  </si>
  <si>
    <t>05041450486</t>
  </si>
  <si>
    <t>IT05041450486</t>
  </si>
  <si>
    <t>3384.</t>
  </si>
  <si>
    <t>STUDIO IMMAGINE S.R.L.</t>
  </si>
  <si>
    <t>02151370448</t>
  </si>
  <si>
    <t>IT02151370448</t>
  </si>
  <si>
    <t>3385.</t>
  </si>
  <si>
    <t>MARPELL S.R.L.</t>
  </si>
  <si>
    <t>01921360507</t>
  </si>
  <si>
    <t>IT01921360507</t>
  </si>
  <si>
    <t>3386.</t>
  </si>
  <si>
    <t>QUADRARO - SOCIETA' A RESPONSABILITA' LIMITATA</t>
  </si>
  <si>
    <t>03563170483</t>
  </si>
  <si>
    <t>IT03563170483</t>
  </si>
  <si>
    <t>3387.</t>
  </si>
  <si>
    <t>FALCIM S.R.L.</t>
  </si>
  <si>
    <t>01136490594</t>
  </si>
  <si>
    <t>IT01136490594</t>
  </si>
  <si>
    <t>Latina</t>
  </si>
  <si>
    <t>3388.</t>
  </si>
  <si>
    <t>SHIRT LAB S.R.L.</t>
  </si>
  <si>
    <t>00434460689</t>
  </si>
  <si>
    <t>IT00434460689</t>
  </si>
  <si>
    <t>3389.</t>
  </si>
  <si>
    <t>JEANS MARKET S.R.L.</t>
  </si>
  <si>
    <t>00941540296</t>
  </si>
  <si>
    <t>IT00941540296</t>
  </si>
  <si>
    <t>3390.</t>
  </si>
  <si>
    <t>ARTIGIANINO S.R.L.</t>
  </si>
  <si>
    <t>04642300653</t>
  </si>
  <si>
    <t>IT04642300653</t>
  </si>
  <si>
    <t>3391.</t>
  </si>
  <si>
    <t>ITALIAN BELTS S.R.L.</t>
  </si>
  <si>
    <t>09444791215</t>
  </si>
  <si>
    <t>IT09444791215</t>
  </si>
  <si>
    <t>3392.</t>
  </si>
  <si>
    <t>CALZATURE EPOCA S.R.L.</t>
  </si>
  <si>
    <t>09260300158</t>
  </si>
  <si>
    <t>IT09260300158</t>
  </si>
  <si>
    <t>3393.</t>
  </si>
  <si>
    <t>R.G.G. GROUP SRL</t>
  </si>
  <si>
    <t>02164580736</t>
  </si>
  <si>
    <t>IT02164580736</t>
  </si>
  <si>
    <t>3394.</t>
  </si>
  <si>
    <t>ATELIER S.R.L.</t>
  </si>
  <si>
    <t>01556450474</t>
  </si>
  <si>
    <t>IT01556450474</t>
  </si>
  <si>
    <t>3395.</t>
  </si>
  <si>
    <t>NEW ENERGY SRL</t>
  </si>
  <si>
    <t>04882640289</t>
  </si>
  <si>
    <t>IT04882640289</t>
  </si>
  <si>
    <t>3396.</t>
  </si>
  <si>
    <t>CLAIRE S.R.L.</t>
  </si>
  <si>
    <t>01489990513</t>
  </si>
  <si>
    <t>IT01489990513</t>
  </si>
  <si>
    <t>3397.</t>
  </si>
  <si>
    <t>IDEA 90 S.R.L.</t>
  </si>
  <si>
    <t>03187180264</t>
  </si>
  <si>
    <t>IT03187180264</t>
  </si>
  <si>
    <t>3398.</t>
  </si>
  <si>
    <t>A.V.F. S.R.L.S.</t>
  </si>
  <si>
    <t>01922830672</t>
  </si>
  <si>
    <t>IT01922830672</t>
  </si>
  <si>
    <t>3399.</t>
  </si>
  <si>
    <t>SORGENTE GROUP S.R.L.</t>
  </si>
  <si>
    <t>09000031212</t>
  </si>
  <si>
    <t>IT09000031212</t>
  </si>
  <si>
    <t>3400.</t>
  </si>
  <si>
    <t>DEL MUGNAIO S.R.L.</t>
  </si>
  <si>
    <t>00235860509</t>
  </si>
  <si>
    <t>IT00235860509</t>
  </si>
  <si>
    <t>3401.</t>
  </si>
  <si>
    <t>LUCARELLA PELLICCE SRL</t>
  </si>
  <si>
    <t>06381731212</t>
  </si>
  <si>
    <t>IT06381731212</t>
  </si>
  <si>
    <t>3402.</t>
  </si>
  <si>
    <t>ESSEFASHION S.R.L.</t>
  </si>
  <si>
    <t>03669820163</t>
  </si>
  <si>
    <t>IT03669820163</t>
  </si>
  <si>
    <t>3403.</t>
  </si>
  <si>
    <t>TRIZIO S.R.L.</t>
  </si>
  <si>
    <t>10664470159</t>
  </si>
  <si>
    <t>IT10664470159</t>
  </si>
  <si>
    <t>3404.</t>
  </si>
  <si>
    <t>VISUAL FRIEND S.R.L.</t>
  </si>
  <si>
    <t>05021030266</t>
  </si>
  <si>
    <t>IT05021030266</t>
  </si>
  <si>
    <t>3405.</t>
  </si>
  <si>
    <t>BELTS + SOCIETA' A RESPONSABILITA' LIMITATA</t>
  </si>
  <si>
    <t>01517160345</t>
  </si>
  <si>
    <t>IT01517160345</t>
  </si>
  <si>
    <t>3406.</t>
  </si>
  <si>
    <t>SERTEO CONFEZIONI S.R.L.</t>
  </si>
  <si>
    <t>02818470136</t>
  </si>
  <si>
    <t>IT02818470136</t>
  </si>
  <si>
    <t>3407.</t>
  </si>
  <si>
    <t>CALZATURIFICIO ARDITO - S.R.L. -</t>
  </si>
  <si>
    <t>03411900651</t>
  </si>
  <si>
    <t>IT03411900651</t>
  </si>
  <si>
    <t>3408.</t>
  </si>
  <si>
    <t>ELVICART S.R.L.</t>
  </si>
  <si>
    <t>12575690156</t>
  </si>
  <si>
    <t>IT12575690156</t>
  </si>
  <si>
    <t>3409.</t>
  </si>
  <si>
    <t>CINTURIFICIO G. &amp; G. S.R.L.</t>
  </si>
  <si>
    <t>04330390289</t>
  </si>
  <si>
    <t>IT04330390289</t>
  </si>
  <si>
    <t>3410.</t>
  </si>
  <si>
    <t>FASHION STREETWEAR ITALIA S.R.L.</t>
  </si>
  <si>
    <t>03516860362</t>
  </si>
  <si>
    <t>IT03516860362</t>
  </si>
  <si>
    <t>3411.</t>
  </si>
  <si>
    <t>MAX MIL S.R.L.</t>
  </si>
  <si>
    <t>00123250037</t>
  </si>
  <si>
    <t>IT00123250037</t>
  </si>
  <si>
    <t>3412.</t>
  </si>
  <si>
    <t>MARIANI CONFEZIONI S.R.L.</t>
  </si>
  <si>
    <t>05232740653</t>
  </si>
  <si>
    <t>IT05232740653</t>
  </si>
  <si>
    <t>3413.</t>
  </si>
  <si>
    <t>SUOLIFICIO PALAZZO GIOVANNI S.R.L.</t>
  </si>
  <si>
    <t>02479790186</t>
  </si>
  <si>
    <t>IT02479790186</t>
  </si>
  <si>
    <t>3414.</t>
  </si>
  <si>
    <t>SUNSTAR SRL</t>
  </si>
  <si>
    <t>02499150973</t>
  </si>
  <si>
    <t>IT02499150973</t>
  </si>
  <si>
    <t>3415.</t>
  </si>
  <si>
    <t>ALCOSTRICOT HOLDING S.R.L.</t>
  </si>
  <si>
    <t>09409200962</t>
  </si>
  <si>
    <t>IT09409200962</t>
  </si>
  <si>
    <t>3416.</t>
  </si>
  <si>
    <t>2 EFFE SOCIETA' A RESPONSABILITA' LIMITATA SEMPLIFICATA</t>
  </si>
  <si>
    <t>03667430981</t>
  </si>
  <si>
    <t>IT03667430981</t>
  </si>
  <si>
    <t>3417.</t>
  </si>
  <si>
    <t>FONTANA SHOES S.R.L.</t>
  </si>
  <si>
    <t>02401400441</t>
  </si>
  <si>
    <t>IT02401400441</t>
  </si>
  <si>
    <t>3418.</t>
  </si>
  <si>
    <t>EQUITIME SRL</t>
  </si>
  <si>
    <t>02240870689</t>
  </si>
  <si>
    <t>IT02240870689</t>
  </si>
  <si>
    <t>3419.</t>
  </si>
  <si>
    <t>ANGIVENEZIA SRL</t>
  </si>
  <si>
    <t>04035400243</t>
  </si>
  <si>
    <t>IT04035400243</t>
  </si>
  <si>
    <t>3420.</t>
  </si>
  <si>
    <t>CONFEZIONI GHEDESI S.R.L.</t>
  </si>
  <si>
    <t>03137420174</t>
  </si>
  <si>
    <t>IT03137420174</t>
  </si>
  <si>
    <t>3421.</t>
  </si>
  <si>
    <t>STAMPERIA MAST S.R.L.</t>
  </si>
  <si>
    <t>03559480243</t>
  </si>
  <si>
    <t>IT03559480243</t>
  </si>
  <si>
    <t>3422.</t>
  </si>
  <si>
    <t>GIVU' SRL</t>
  </si>
  <si>
    <t>01878100435</t>
  </si>
  <si>
    <t>IT01878100435</t>
  </si>
  <si>
    <t>3423.</t>
  </si>
  <si>
    <t>CONFEZIONI GIGI'S SRL</t>
  </si>
  <si>
    <t>00640390985</t>
  </si>
  <si>
    <t>01588990174</t>
  </si>
  <si>
    <t>IT01588990174</t>
  </si>
  <si>
    <t>3424.</t>
  </si>
  <si>
    <t>DE MARCHI 1946 SRL</t>
  </si>
  <si>
    <t>04861070268</t>
  </si>
  <si>
    <t>IT04861070268</t>
  </si>
  <si>
    <t>3425.</t>
  </si>
  <si>
    <t>MANIFATTURE GIULIA S.R.L.</t>
  </si>
  <si>
    <t>01664180435</t>
  </si>
  <si>
    <t>IT01664180435</t>
  </si>
  <si>
    <t>3426.</t>
  </si>
  <si>
    <t>GAIA SEGATTINI KNOTWEAR SOCIETA' BENEFIT A RESPONSABILITA' LIMITATA</t>
  </si>
  <si>
    <t>02824010421</t>
  </si>
  <si>
    <t>IT02824010421</t>
  </si>
  <si>
    <t>3427.</t>
  </si>
  <si>
    <t>MAGLIFICIO FLY LINE - S.R.L.</t>
  </si>
  <si>
    <t>02059130480</t>
  </si>
  <si>
    <t>IT02059130480</t>
  </si>
  <si>
    <t>3428.</t>
  </si>
  <si>
    <t>NIKI CONFEZIONI SRL</t>
  </si>
  <si>
    <t>00868530247</t>
  </si>
  <si>
    <t>IT00868530247</t>
  </si>
  <si>
    <t>3429.</t>
  </si>
  <si>
    <t>C.M. S.R.L. - SOCIETA' UNIPERSONALE</t>
  </si>
  <si>
    <t>02815130246</t>
  </si>
  <si>
    <t>IT02815130246</t>
  </si>
  <si>
    <t>3430.</t>
  </si>
  <si>
    <t>RUSSOLILLO TESSILE S.R.L.</t>
  </si>
  <si>
    <t>07575260638</t>
  </si>
  <si>
    <t>IT07575260638</t>
  </si>
  <si>
    <t>3431.</t>
  </si>
  <si>
    <t>SUNJOY SRL</t>
  </si>
  <si>
    <t>02470700978</t>
  </si>
  <si>
    <t>IT02470700978</t>
  </si>
  <si>
    <t>3432.</t>
  </si>
  <si>
    <t>LUIGI BONZA &amp; C. S.R.L.</t>
  </si>
  <si>
    <t>01131100032</t>
  </si>
  <si>
    <t>IT01131100032</t>
  </si>
  <si>
    <t>3433.</t>
  </si>
  <si>
    <t>SCENZA S.R.L.</t>
  </si>
  <si>
    <t>01879910436</t>
  </si>
  <si>
    <t>IT01879910436</t>
  </si>
  <si>
    <t>3434.</t>
  </si>
  <si>
    <t>CTC CONCERIA DEL CHIENTI SOCIETA' BENEFIT S.P.A.</t>
  </si>
  <si>
    <t>02083630430</t>
  </si>
  <si>
    <t>IT02083630430</t>
  </si>
  <si>
    <t>3435.</t>
  </si>
  <si>
    <t>L'HORTOPEDICO 2.0 S.R.L.</t>
  </si>
  <si>
    <t>05066210286</t>
  </si>
  <si>
    <t>IT05066210286</t>
  </si>
  <si>
    <t>3436.</t>
  </si>
  <si>
    <t>AC STUDIO SRL</t>
  </si>
  <si>
    <t>04976190266</t>
  </si>
  <si>
    <t>IT04976190266</t>
  </si>
  <si>
    <t>3437.</t>
  </si>
  <si>
    <t>ELENPELL S.R.L.</t>
  </si>
  <si>
    <t>02085180244</t>
  </si>
  <si>
    <t>IT02085180244</t>
  </si>
  <si>
    <t>3438.</t>
  </si>
  <si>
    <t>LEPO CALZATURE S.R.L. UNIPERSONALE</t>
  </si>
  <si>
    <t>02020520462</t>
  </si>
  <si>
    <t>IT02020520462</t>
  </si>
  <si>
    <t>3439.</t>
  </si>
  <si>
    <t>PELLETTERIE ALEST S.R.L.</t>
  </si>
  <si>
    <t>01006590481</t>
  </si>
  <si>
    <t>IT01006590481</t>
  </si>
  <si>
    <t>3440.</t>
  </si>
  <si>
    <t>SERGIO FUMI VALIGERIA S.R.L.</t>
  </si>
  <si>
    <t>01057890335</t>
  </si>
  <si>
    <t>IT01057890335</t>
  </si>
  <si>
    <t>Piacenza</t>
  </si>
  <si>
    <t>3441.</t>
  </si>
  <si>
    <t>TECNORIVER S.R.L.</t>
  </si>
  <si>
    <t>00717320980</t>
  </si>
  <si>
    <t>03003080177</t>
  </si>
  <si>
    <t>IT03003080177</t>
  </si>
  <si>
    <t>3442.</t>
  </si>
  <si>
    <t>GIANFRANCO BUTTERI SRL</t>
  </si>
  <si>
    <t>01898540446</t>
  </si>
  <si>
    <t>IT01898540446</t>
  </si>
  <si>
    <t>3443.</t>
  </si>
  <si>
    <t>WORLD FASHION S.R.L.</t>
  </si>
  <si>
    <t>07800861218</t>
  </si>
  <si>
    <t>IT07800861218</t>
  </si>
  <si>
    <t>3444.</t>
  </si>
  <si>
    <t>LE FARELLA SRL</t>
  </si>
  <si>
    <t>06405310639</t>
  </si>
  <si>
    <t>IT06405310639</t>
  </si>
  <si>
    <t>3445.</t>
  </si>
  <si>
    <t>FOGLIZZO LUXURY GOODS - SOCIETA' A RESPONSABILITA' LIMITATA</t>
  </si>
  <si>
    <t>08285570019</t>
  </si>
  <si>
    <t>IT08285570019</t>
  </si>
  <si>
    <t>3446.</t>
  </si>
  <si>
    <t>GIANFORT S.R.L.</t>
  </si>
  <si>
    <t>03477090249</t>
  </si>
  <si>
    <t>IT03477090249</t>
  </si>
  <si>
    <t>3447.</t>
  </si>
  <si>
    <t>VIRTUS PELLAMI SRL</t>
  </si>
  <si>
    <t>04243440247</t>
  </si>
  <si>
    <t>IT04243440247</t>
  </si>
  <si>
    <t>3448.</t>
  </si>
  <si>
    <t>DIERRETEX S.R.L.</t>
  </si>
  <si>
    <t>03914700483</t>
  </si>
  <si>
    <t>IT03914700483</t>
  </si>
  <si>
    <t>3449.</t>
  </si>
  <si>
    <t>ANPEL DI SCARANO PEPPINO &amp; MOLINARO ELVIRA S.R.L.</t>
  </si>
  <si>
    <t>00809050701</t>
  </si>
  <si>
    <t>IT00809050701</t>
  </si>
  <si>
    <t>3450.</t>
  </si>
  <si>
    <t>EURO PROTEC S.R.L.</t>
  </si>
  <si>
    <t>08481170721</t>
  </si>
  <si>
    <t>IT08481170721</t>
  </si>
  <si>
    <t>3451.</t>
  </si>
  <si>
    <t>M2 MODA S.R.L.</t>
  </si>
  <si>
    <t>02540410970</t>
  </si>
  <si>
    <t>IT02540410970</t>
  </si>
  <si>
    <t>3452.</t>
  </si>
  <si>
    <t>MARTINI S.R.L.</t>
  </si>
  <si>
    <t>01383420559</t>
  </si>
  <si>
    <t>IT01383420559</t>
  </si>
  <si>
    <t>3453.</t>
  </si>
  <si>
    <t>CONCERIA SOLARIS S.R.L.</t>
  </si>
  <si>
    <t>04755670488</t>
  </si>
  <si>
    <t>IT04755670488</t>
  </si>
  <si>
    <t>3454.</t>
  </si>
  <si>
    <t>CASA D'ARTE FIORE S.R.L.</t>
  </si>
  <si>
    <t>10753650158</t>
  </si>
  <si>
    <t>IT10753650158</t>
  </si>
  <si>
    <t>3455.</t>
  </si>
  <si>
    <t>STEFANIA CARRERA IMMAGINE S.R.L.</t>
  </si>
  <si>
    <t>10000560150</t>
  </si>
  <si>
    <t>IT10000560150</t>
  </si>
  <si>
    <t>3456.</t>
  </si>
  <si>
    <t>ALOISIO BANZOLA S.R.L.</t>
  </si>
  <si>
    <t>00408620342</t>
  </si>
  <si>
    <t>IT00408620342</t>
  </si>
  <si>
    <t>3457.</t>
  </si>
  <si>
    <t>RECCHIA E C. SRL</t>
  </si>
  <si>
    <t>04522800236</t>
  </si>
  <si>
    <t>IT04522800236</t>
  </si>
  <si>
    <t>3458.</t>
  </si>
  <si>
    <t>SIKELIA CONFEZIONI S.R.L.</t>
  </si>
  <si>
    <t>03606970832</t>
  </si>
  <si>
    <t>IT03606970832</t>
  </si>
  <si>
    <t>Messina</t>
  </si>
  <si>
    <t>3459.</t>
  </si>
  <si>
    <t>GISTT FASHION S.R.L.</t>
  </si>
  <si>
    <t>05185681219</t>
  </si>
  <si>
    <t>IT05185681219</t>
  </si>
  <si>
    <t>3460.</t>
  </si>
  <si>
    <t>CAMICERIA SCABO DI BOLZONELLA S.R.L.</t>
  </si>
  <si>
    <t>03201140286</t>
  </si>
  <si>
    <t>IT03201140286</t>
  </si>
  <si>
    <t>3461.</t>
  </si>
  <si>
    <t>KARIN SAFETY FOOTWEAR S.R.L.</t>
  </si>
  <si>
    <t>00738130673</t>
  </si>
  <si>
    <t>IT00738130673</t>
  </si>
  <si>
    <t>3462.</t>
  </si>
  <si>
    <t>CASANOVA 80 S.R.L.</t>
  </si>
  <si>
    <t>04392261212</t>
  </si>
  <si>
    <t>IT04392261212</t>
  </si>
  <si>
    <t>3463.</t>
  </si>
  <si>
    <t>GUARDOLIFICIO ALEX - S.R.L.</t>
  </si>
  <si>
    <t>03972050482</t>
  </si>
  <si>
    <t>IT03972050482</t>
  </si>
  <si>
    <t>3464.</t>
  </si>
  <si>
    <t>LAGOA WORLD SRL</t>
  </si>
  <si>
    <t>02436630442</t>
  </si>
  <si>
    <t>IT02436630442</t>
  </si>
  <si>
    <t>3465.</t>
  </si>
  <si>
    <t>PRINTSQUAD S.R.L.</t>
  </si>
  <si>
    <t>09384841210</t>
  </si>
  <si>
    <t>IT09384841210</t>
  </si>
  <si>
    <t>3466.</t>
  </si>
  <si>
    <t>OVERALLS ITALIA S.R.L.</t>
  </si>
  <si>
    <t>02651430031</t>
  </si>
  <si>
    <t>IT02651430031</t>
  </si>
  <si>
    <t>3467.</t>
  </si>
  <si>
    <t>SOLEA S.R.L.</t>
  </si>
  <si>
    <t>01315770550</t>
  </si>
  <si>
    <t>IT01315770550</t>
  </si>
  <si>
    <t>3468.</t>
  </si>
  <si>
    <t>BEST DREL S.R.L.</t>
  </si>
  <si>
    <t>01095160477</t>
  </si>
  <si>
    <t>IT01095160477</t>
  </si>
  <si>
    <t>3469.</t>
  </si>
  <si>
    <t>MIDEX S.R.L.</t>
  </si>
  <si>
    <t>04934170269</t>
  </si>
  <si>
    <t>IT04934170269</t>
  </si>
  <si>
    <t>3470.</t>
  </si>
  <si>
    <t>RE.GA. SPORT S.R.L.</t>
  </si>
  <si>
    <t>06405040152</t>
  </si>
  <si>
    <t>IT06405040152</t>
  </si>
  <si>
    <t>3471.</t>
  </si>
  <si>
    <t>KAMAR S.R.L.</t>
  </si>
  <si>
    <t>00997340716</t>
  </si>
  <si>
    <t>IT00997340716</t>
  </si>
  <si>
    <t>3472.</t>
  </si>
  <si>
    <t>CONFEZIONE MAGLIERIA CRICKET S.R.L.</t>
  </si>
  <si>
    <t>01692230970</t>
  </si>
  <si>
    <t>IT01692230970</t>
  </si>
  <si>
    <t>3473.</t>
  </si>
  <si>
    <t>CALZATURIFICIO LORENZO SOCIETA' A RESPONSABILITA' LIMITATA</t>
  </si>
  <si>
    <t>02390140446</t>
  </si>
  <si>
    <t>IT02390140446</t>
  </si>
  <si>
    <t>3474.</t>
  </si>
  <si>
    <t>SINERGY FASHION GROUP S.R.L.</t>
  </si>
  <si>
    <t>04793260284</t>
  </si>
  <si>
    <t>IT04793260284</t>
  </si>
  <si>
    <t>3475.</t>
  </si>
  <si>
    <t>MAGLIFICIO CRISTIANA S.R.L.</t>
  </si>
  <si>
    <t>03580080285</t>
  </si>
  <si>
    <t>IT03580080285</t>
  </si>
  <si>
    <t>3476.</t>
  </si>
  <si>
    <t>SINBI S.R.L.</t>
  </si>
  <si>
    <t>08090130728</t>
  </si>
  <si>
    <t>IT08090130728</t>
  </si>
  <si>
    <t>3477.</t>
  </si>
  <si>
    <t>REVENGE S.R.L.</t>
  </si>
  <si>
    <t>02378410985</t>
  </si>
  <si>
    <t>IT02378410985</t>
  </si>
  <si>
    <t>3478.</t>
  </si>
  <si>
    <t>FABIANIDUE S.R.L.</t>
  </si>
  <si>
    <t>02192270516</t>
  </si>
  <si>
    <t>IT02192270516</t>
  </si>
  <si>
    <t>3479.</t>
  </si>
  <si>
    <t>ITALIAN HEELS SRL</t>
  </si>
  <si>
    <t>02209250444</t>
  </si>
  <si>
    <t>IT02209250444</t>
  </si>
  <si>
    <t>3480.</t>
  </si>
  <si>
    <t>BABY CROSS S.R.L.</t>
  </si>
  <si>
    <t>01283210241</t>
  </si>
  <si>
    <t>IT01283210241</t>
  </si>
  <si>
    <t>3481.</t>
  </si>
  <si>
    <t>YANGA S.R.L.</t>
  </si>
  <si>
    <t>00258450022</t>
  </si>
  <si>
    <t>IT00258450022</t>
  </si>
  <si>
    <t>3482.</t>
  </si>
  <si>
    <t>TIFFI S.R.L.</t>
  </si>
  <si>
    <t>05502871212</t>
  </si>
  <si>
    <t>IT05502871212</t>
  </si>
  <si>
    <t>3483.</t>
  </si>
  <si>
    <t>MARCELLO PAMPALONI S.R.L.</t>
  </si>
  <si>
    <t>03626230480</t>
  </si>
  <si>
    <t>IT03626230480</t>
  </si>
  <si>
    <t>3484.</t>
  </si>
  <si>
    <t>SPENDOLINI SRL</t>
  </si>
  <si>
    <t>02195210410</t>
  </si>
  <si>
    <t>IT02195210410</t>
  </si>
  <si>
    <t>3485.</t>
  </si>
  <si>
    <t>M.C.C. S.R.L.</t>
  </si>
  <si>
    <t>03550530541</t>
  </si>
  <si>
    <t>IT03550530541</t>
  </si>
  <si>
    <t>3486.</t>
  </si>
  <si>
    <t>LUIGI E PRIMO CASTELLANI S.R.L.</t>
  </si>
  <si>
    <t>00420430480</t>
  </si>
  <si>
    <t>IT00420430480</t>
  </si>
  <si>
    <t>3487.</t>
  </si>
  <si>
    <t>LES ETOILES S.R.L.</t>
  </si>
  <si>
    <t>06865941212</t>
  </si>
  <si>
    <t>IT06865941212</t>
  </si>
  <si>
    <t>3488.</t>
  </si>
  <si>
    <t>NUOVA P.R. S.R.L.</t>
  </si>
  <si>
    <t>02403260546</t>
  </si>
  <si>
    <t>IT02403260546</t>
  </si>
  <si>
    <t>3489.</t>
  </si>
  <si>
    <t>MAGIA - S.R.L.</t>
  </si>
  <si>
    <t>02763180656</t>
  </si>
  <si>
    <t>IT02763180656</t>
  </si>
  <si>
    <t>3490.</t>
  </si>
  <si>
    <t>OFFICINA BELTS SOCIETA' A RESPONSABILITA' LIMITATA</t>
  </si>
  <si>
    <t>07244511213</t>
  </si>
  <si>
    <t>IT07244511213</t>
  </si>
  <si>
    <t>3491.</t>
  </si>
  <si>
    <t>RUN PLAST S.R.L.</t>
  </si>
  <si>
    <t>01981990433</t>
  </si>
  <si>
    <t>IT01981990433</t>
  </si>
  <si>
    <t>3492.</t>
  </si>
  <si>
    <t>CONFEZIONI ORAZIO SRL</t>
  </si>
  <si>
    <t>01850730282</t>
  </si>
  <si>
    <t>IT01850730282</t>
  </si>
  <si>
    <t>3493.</t>
  </si>
  <si>
    <t>CORREALEGLOVES S.R.L.</t>
  </si>
  <si>
    <t>06062791212</t>
  </si>
  <si>
    <t>IT06062791212</t>
  </si>
  <si>
    <t>3494.</t>
  </si>
  <si>
    <t>B.G. SRL</t>
  </si>
  <si>
    <t>02149930444</t>
  </si>
  <si>
    <t>IT02149930444</t>
  </si>
  <si>
    <t>3495.</t>
  </si>
  <si>
    <t>MAGLIERIA M.M S.R.L.</t>
  </si>
  <si>
    <t>09468430963</t>
  </si>
  <si>
    <t>IT09468430963</t>
  </si>
  <si>
    <t>3496.</t>
  </si>
  <si>
    <t>IL GRECO S.R.L.</t>
  </si>
  <si>
    <t>01370640441</t>
  </si>
  <si>
    <t>IT01370640441</t>
  </si>
  <si>
    <t>3497.</t>
  </si>
  <si>
    <t>GHIBLI S.R.L.</t>
  </si>
  <si>
    <t>01345750507</t>
  </si>
  <si>
    <t>IT01345750507</t>
  </si>
  <si>
    <t>3498.</t>
  </si>
  <si>
    <t>VU-ES SRL</t>
  </si>
  <si>
    <t>06336830481</t>
  </si>
  <si>
    <t>IT06336830481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</si>
</sst>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8.5"/>
      <color indexed="9"/>
      <name val="Verdana"/>
      <family val="2"/>
    </font>
    <font>
      <sz val="8.5"/>
      <color indexed="63"/>
      <name val="Verdana"/>
      <family val="2"/>
    </font>
    <font>
      <b/>
      <sz val="8.5"/>
      <color indexed="5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2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3" fontId="2" fillId="4" borderId="1" xfId="0" applyNumberFormat="1" applyFont="1" applyFill="1" applyBorder="1" applyAlignment="1">
      <alignment horizontal="right" vertical="top"/>
    </xf>
    <xf numFmtId="3" fontId="2" fillId="5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left" vertical="top" wrapText="1"/>
    </xf>
    <xf numFmtId="0" fontId="3" fillId="6" borderId="1" xfId="0" applyFont="1" applyFill="1" applyBorder="1" applyAlignment="1">
      <alignment horizontal="left" vertical="top" wrapText="1"/>
    </xf>
    <xf numFmtId="3" fontId="2" fillId="6" borderId="1" xfId="0" applyNumberFormat="1" applyFont="1" applyFill="1" applyBorder="1" applyAlignment="1">
      <alignment horizontal="right" vertical="top"/>
    </xf>
    <xf numFmtId="0" fontId="2" fillId="6" borderId="1" xfId="0" applyFont="1" applyFill="1" applyBorder="1" applyAlignment="1">
      <alignment horizontal="right"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C4DD-9C3B-694D-852C-E731680A6FED}">
  <dimension ref="A1:R1000"/>
  <sheetViews>
    <sheetView tabSelected="1" topLeftCell="A34" workbookViewId="0">
      <selection activeCell="U2" sqref="U2"/>
    </sheetView>
  </sheetViews>
  <sheetFormatPr baseColWidth="10" defaultRowHeight="16" x14ac:dyDescent="0.2"/>
  <sheetData>
    <row r="1" spans="1:18" ht="64.75" customHeight="1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4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 ht="17" customHeight="1" x14ac:dyDescent="0.2">
      <c r="A2" s="5" t="s">
        <v>17</v>
      </c>
      <c r="B2" s="6" t="s">
        <v>18</v>
      </c>
      <c r="C2" s="5" t="s">
        <v>19</v>
      </c>
      <c r="D2" s="5" t="s">
        <v>19</v>
      </c>
      <c r="E2" s="5" t="s">
        <v>20</v>
      </c>
      <c r="F2" s="5" t="s">
        <v>21</v>
      </c>
      <c r="G2" s="5" t="s">
        <v>22</v>
      </c>
      <c r="H2" s="5" t="s">
        <v>23</v>
      </c>
      <c r="I2" s="5" t="str">
        <f>HYPERLINK("http://www.pasquinicalzature.it/","www.pasquinicalzature.it")</f>
        <v>www.pasquinicalzature.it</v>
      </c>
      <c r="J2" s="7">
        <v>1398.991</v>
      </c>
      <c r="K2" s="7">
        <v>1439.011</v>
      </c>
      <c r="L2" s="8">
        <v>1563.5409999999999</v>
      </c>
      <c r="M2" s="7">
        <v>10.814</v>
      </c>
      <c r="N2" s="7">
        <v>-88.658000000000001</v>
      </c>
      <c r="O2" s="7">
        <v>13.382</v>
      </c>
      <c r="P2" s="9" t="s">
        <v>24</v>
      </c>
      <c r="Q2" s="7">
        <v>13</v>
      </c>
      <c r="R2" s="7">
        <v>12</v>
      </c>
    </row>
    <row r="3" spans="1:18" ht="17" customHeight="1" x14ac:dyDescent="0.2">
      <c r="A3" s="10" t="s">
        <v>25</v>
      </c>
      <c r="B3" s="11" t="s">
        <v>26</v>
      </c>
      <c r="C3" s="10" t="s">
        <v>27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tr">
        <f>HYPERLINK("http://www.camiceriacarucci.it/","www.camiceriacarucci.it")</f>
        <v>www.camiceriacarucci.it</v>
      </c>
      <c r="J3" s="12">
        <v>1608.462</v>
      </c>
      <c r="K3" s="12">
        <v>1608.462</v>
      </c>
      <c r="L3" s="12">
        <v>1560.501</v>
      </c>
      <c r="M3" s="12">
        <v>84.415000000000006</v>
      </c>
      <c r="N3" s="12">
        <v>84.415000000000006</v>
      </c>
      <c r="O3" s="12">
        <v>54.994</v>
      </c>
      <c r="P3" s="12">
        <v>42</v>
      </c>
      <c r="Q3" s="12">
        <v>42</v>
      </c>
      <c r="R3" s="12">
        <v>41</v>
      </c>
    </row>
    <row r="4" spans="1:18" ht="17" customHeight="1" x14ac:dyDescent="0.2">
      <c r="A4" s="5" t="s">
        <v>32</v>
      </c>
      <c r="B4" s="6" t="s">
        <v>33</v>
      </c>
      <c r="C4" s="5" t="s">
        <v>34</v>
      </c>
      <c r="D4" s="5" t="s">
        <v>34</v>
      </c>
      <c r="E4" s="5" t="s">
        <v>35</v>
      </c>
      <c r="F4" s="5" t="s">
        <v>29</v>
      </c>
      <c r="G4" s="5" t="s">
        <v>36</v>
      </c>
      <c r="H4" s="5" t="s">
        <v>23</v>
      </c>
      <c r="I4" s="5" t="str">
        <f>HYPERLINK("http://www.clubvoltaire.it/","www.clubvoltaire.it")</f>
        <v>www.clubvoltaire.it</v>
      </c>
      <c r="J4" s="7">
        <v>1873.2929999999999</v>
      </c>
      <c r="K4" s="7">
        <v>1873.2929999999999</v>
      </c>
      <c r="L4" s="8">
        <v>1558.3779999999999</v>
      </c>
      <c r="M4" s="7">
        <v>41.384</v>
      </c>
      <c r="N4" s="7">
        <v>41.384</v>
      </c>
      <c r="O4" s="7">
        <v>48.84</v>
      </c>
      <c r="P4" s="7">
        <v>9</v>
      </c>
      <c r="Q4" s="7">
        <v>9</v>
      </c>
      <c r="R4" s="7">
        <v>9</v>
      </c>
    </row>
    <row r="5" spans="1:18" ht="17" customHeight="1" x14ac:dyDescent="0.2">
      <c r="A5" s="10" t="s">
        <v>37</v>
      </c>
      <c r="B5" s="11" t="s">
        <v>38</v>
      </c>
      <c r="C5" s="10" t="s">
        <v>39</v>
      </c>
      <c r="D5" s="10" t="s">
        <v>39</v>
      </c>
      <c r="E5" s="10" t="s">
        <v>40</v>
      </c>
      <c r="F5" s="10" t="s">
        <v>41</v>
      </c>
      <c r="G5" s="10" t="s">
        <v>42</v>
      </c>
      <c r="H5" s="10" t="s">
        <v>43</v>
      </c>
      <c r="I5" s="10" t="str">
        <f>HYPERLINK("http://martinaleathers.com/","martinaleathers.com")</f>
        <v>martinaleathers.com</v>
      </c>
      <c r="J5" s="12">
        <v>1295.954</v>
      </c>
      <c r="K5" s="12">
        <v>1295.954</v>
      </c>
      <c r="L5" s="12">
        <v>1558.4079999999999</v>
      </c>
      <c r="M5" s="12">
        <v>8.657</v>
      </c>
      <c r="N5" s="12">
        <v>8.657</v>
      </c>
      <c r="O5" s="12">
        <v>4.3780000000000001</v>
      </c>
      <c r="P5" s="12">
        <v>6</v>
      </c>
      <c r="Q5" s="12">
        <v>6</v>
      </c>
      <c r="R5" s="12">
        <v>7</v>
      </c>
    </row>
    <row r="6" spans="1:18" ht="29.5" customHeight="1" x14ac:dyDescent="0.2">
      <c r="A6" s="5" t="s">
        <v>44</v>
      </c>
      <c r="B6" s="6" t="s">
        <v>45</v>
      </c>
      <c r="C6" s="5" t="s">
        <v>46</v>
      </c>
      <c r="D6" s="5" t="s">
        <v>46</v>
      </c>
      <c r="E6" s="5" t="s">
        <v>47</v>
      </c>
      <c r="F6" s="5" t="s">
        <v>48</v>
      </c>
      <c r="G6" s="5" t="s">
        <v>49</v>
      </c>
      <c r="H6" s="5" t="s">
        <v>23</v>
      </c>
      <c r="I6" s="5" t="str">
        <f>HYPERLINK("http://pelletterie-foti.it/","pelletterie-foti.it")</f>
        <v>pelletterie-foti.it</v>
      </c>
      <c r="J6" s="7">
        <v>2032.91</v>
      </c>
      <c r="K6" s="7">
        <v>2032.91</v>
      </c>
      <c r="L6" s="8">
        <v>1558.163</v>
      </c>
      <c r="M6" s="7">
        <v>249.988</v>
      </c>
      <c r="N6" s="7">
        <v>249.988</v>
      </c>
      <c r="O6" s="7">
        <v>73.614999999999995</v>
      </c>
      <c r="P6" s="7">
        <v>26</v>
      </c>
      <c r="Q6" s="7">
        <v>26</v>
      </c>
      <c r="R6" s="7">
        <v>22</v>
      </c>
    </row>
    <row r="7" spans="1:18" ht="17" customHeight="1" x14ac:dyDescent="0.2">
      <c r="A7" s="10" t="s">
        <v>50</v>
      </c>
      <c r="B7" s="11" t="s">
        <v>51</v>
      </c>
      <c r="C7" s="10" t="s">
        <v>52</v>
      </c>
      <c r="D7" s="10" t="s">
        <v>52</v>
      </c>
      <c r="E7" s="10" t="s">
        <v>53</v>
      </c>
      <c r="F7" s="10" t="s">
        <v>54</v>
      </c>
      <c r="G7" s="10" t="s">
        <v>55</v>
      </c>
      <c r="H7" s="10" t="s">
        <v>56</v>
      </c>
      <c r="I7" s="10" t="str">
        <f>HYPERLINK("http://www.duecci-srl.it/","www.duecci-srl.it")</f>
        <v>www.duecci-srl.it</v>
      </c>
      <c r="J7" s="12">
        <v>1451.3589999999999</v>
      </c>
      <c r="K7" s="12">
        <v>1451.3589999999999</v>
      </c>
      <c r="L7" s="12">
        <v>1555.7639999999999</v>
      </c>
      <c r="M7" s="12">
        <v>75.331999999999994</v>
      </c>
      <c r="N7" s="12">
        <v>75.331999999999994</v>
      </c>
      <c r="O7" s="12">
        <v>39.761000000000003</v>
      </c>
      <c r="P7" s="12">
        <v>14</v>
      </c>
      <c r="Q7" s="12">
        <v>14</v>
      </c>
      <c r="R7" s="12">
        <v>12</v>
      </c>
    </row>
    <row r="8" spans="1:18" ht="17" customHeight="1" x14ac:dyDescent="0.2">
      <c r="A8" s="5" t="s">
        <v>57</v>
      </c>
      <c r="B8" s="6" t="s">
        <v>58</v>
      </c>
      <c r="C8" s="5" t="s">
        <v>59</v>
      </c>
      <c r="D8" s="5" t="s">
        <v>59</v>
      </c>
      <c r="E8" s="5" t="s">
        <v>60</v>
      </c>
      <c r="F8" s="5" t="s">
        <v>21</v>
      </c>
      <c r="G8" s="5" t="s">
        <v>61</v>
      </c>
      <c r="H8" s="5" t="s">
        <v>62</v>
      </c>
      <c r="I8" s="5" t="str">
        <f>HYPERLINK("http://www.cielledue.com/","www.cielledue.com")</f>
        <v>www.cielledue.com</v>
      </c>
      <c r="J8" s="7">
        <v>1390.297</v>
      </c>
      <c r="K8" s="7">
        <v>1390.297</v>
      </c>
      <c r="L8" s="8">
        <v>1554.8409999999999</v>
      </c>
      <c r="M8" s="7">
        <v>3.3380000000000001</v>
      </c>
      <c r="N8" s="7">
        <v>3.3380000000000001</v>
      </c>
      <c r="O8" s="7">
        <v>8.1440000000000001</v>
      </c>
      <c r="P8" s="9" t="s">
        <v>24</v>
      </c>
      <c r="Q8" s="9" t="s">
        <v>24</v>
      </c>
      <c r="R8" s="7">
        <v>19</v>
      </c>
    </row>
    <row r="9" spans="1:18" ht="17" customHeight="1" x14ac:dyDescent="0.2">
      <c r="A9" s="10" t="s">
        <v>63</v>
      </c>
      <c r="B9" s="11" t="s">
        <v>64</v>
      </c>
      <c r="C9" s="10" t="s">
        <v>65</v>
      </c>
      <c r="D9" s="10" t="s">
        <v>65</v>
      </c>
      <c r="E9" s="10" t="s">
        <v>66</v>
      </c>
      <c r="F9" s="10" t="s">
        <v>54</v>
      </c>
      <c r="G9" s="10" t="s">
        <v>67</v>
      </c>
      <c r="H9" s="10" t="s">
        <v>43</v>
      </c>
      <c r="I9" s="10" t="str">
        <f>HYPERLINK("http://stilsuole.it/","stilsuole.it/")</f>
        <v>stilsuole.it/</v>
      </c>
      <c r="J9" s="12">
        <v>1492.2909999999999</v>
      </c>
      <c r="K9" s="12">
        <v>1492.2909999999999</v>
      </c>
      <c r="L9" s="12">
        <v>1551.479</v>
      </c>
      <c r="M9" s="12">
        <v>199.28399999999999</v>
      </c>
      <c r="N9" s="12">
        <v>199.28399999999999</v>
      </c>
      <c r="O9" s="12">
        <v>153.255</v>
      </c>
      <c r="P9" s="12">
        <v>16</v>
      </c>
      <c r="Q9" s="12">
        <v>16</v>
      </c>
      <c r="R9" s="12">
        <v>15</v>
      </c>
    </row>
    <row r="10" spans="1:18" ht="17" customHeight="1" x14ac:dyDescent="0.2">
      <c r="A10" s="5" t="s">
        <v>68</v>
      </c>
      <c r="B10" s="6" t="s">
        <v>69</v>
      </c>
      <c r="C10" s="5" t="s">
        <v>70</v>
      </c>
      <c r="D10" s="5" t="s">
        <v>70</v>
      </c>
      <c r="E10" s="5" t="s">
        <v>71</v>
      </c>
      <c r="F10" s="5" t="s">
        <v>72</v>
      </c>
      <c r="G10" s="5" t="s">
        <v>73</v>
      </c>
      <c r="H10" s="5" t="s">
        <v>74</v>
      </c>
      <c r="I10" s="5" t="str">
        <f>HYPERLINK("http://www.calzeandre.it/","www.calzeandre.it")</f>
        <v>www.calzeandre.it</v>
      </c>
      <c r="J10" s="7">
        <v>1606.673</v>
      </c>
      <c r="K10" s="7">
        <v>1606.673</v>
      </c>
      <c r="L10" s="8">
        <v>1551.404</v>
      </c>
      <c r="M10" s="7">
        <v>31.747</v>
      </c>
      <c r="N10" s="7">
        <v>31.747</v>
      </c>
      <c r="O10" s="7">
        <v>-26.132000000000001</v>
      </c>
      <c r="P10" s="7">
        <v>7</v>
      </c>
      <c r="Q10" s="7">
        <v>7</v>
      </c>
      <c r="R10" s="7">
        <v>7</v>
      </c>
    </row>
    <row r="11" spans="1:18" ht="17" customHeight="1" x14ac:dyDescent="0.2">
      <c r="A11" s="10" t="s">
        <v>75</v>
      </c>
      <c r="B11" s="11" t="s">
        <v>76</v>
      </c>
      <c r="C11" s="10" t="s">
        <v>77</v>
      </c>
      <c r="D11" s="10" t="s">
        <v>77</v>
      </c>
      <c r="E11" s="10" t="s">
        <v>78</v>
      </c>
      <c r="F11" s="10" t="s">
        <v>29</v>
      </c>
      <c r="G11" s="10" t="s">
        <v>79</v>
      </c>
      <c r="H11" s="10" t="s">
        <v>56</v>
      </c>
      <c r="I11" s="10" t="str">
        <f>HYPERLINK("http://www.marinisilvano.com/","www.marinisilvano.com")</f>
        <v>www.marinisilvano.com</v>
      </c>
      <c r="J11" s="12">
        <v>1752.8630000000001</v>
      </c>
      <c r="K11" s="12">
        <v>1752.8630000000001</v>
      </c>
      <c r="L11" s="12">
        <v>1549.6579999999999</v>
      </c>
      <c r="M11" s="12">
        <v>193.07300000000001</v>
      </c>
      <c r="N11" s="12">
        <v>193.07300000000001</v>
      </c>
      <c r="O11" s="12">
        <v>-203.012</v>
      </c>
      <c r="P11" s="12">
        <v>12</v>
      </c>
      <c r="Q11" s="12">
        <v>12</v>
      </c>
      <c r="R11" s="12">
        <v>12</v>
      </c>
    </row>
    <row r="12" spans="1:18" ht="17" customHeight="1" x14ac:dyDescent="0.2">
      <c r="A12" s="5" t="s">
        <v>80</v>
      </c>
      <c r="B12" s="6" t="s">
        <v>81</v>
      </c>
      <c r="C12" s="5" t="s">
        <v>82</v>
      </c>
      <c r="D12" s="5" t="s">
        <v>82</v>
      </c>
      <c r="E12" s="5" t="s">
        <v>83</v>
      </c>
      <c r="F12" s="5" t="s">
        <v>54</v>
      </c>
      <c r="G12" s="5" t="s">
        <v>84</v>
      </c>
      <c r="H12" s="5" t="s">
        <v>74</v>
      </c>
      <c r="I12" s="5" t="str">
        <f>HYPERLINK("http://www.nuovacarpi.com/","www.nuovacarpi.com")</f>
        <v>www.nuovacarpi.com</v>
      </c>
      <c r="J12" s="7">
        <v>868.61500000000001</v>
      </c>
      <c r="K12" s="7">
        <v>868.61500000000001</v>
      </c>
      <c r="L12" s="8">
        <v>1547.8810000000001</v>
      </c>
      <c r="M12" s="7">
        <v>-11.035</v>
      </c>
      <c r="N12" s="7">
        <v>-11.035</v>
      </c>
      <c r="O12" s="7">
        <v>16.835000000000001</v>
      </c>
      <c r="P12" s="7">
        <v>12</v>
      </c>
      <c r="Q12" s="7">
        <v>12</v>
      </c>
      <c r="R12" s="7">
        <v>14</v>
      </c>
    </row>
    <row r="13" spans="1:18" ht="68" customHeight="1" x14ac:dyDescent="0.2">
      <c r="A13" s="10" t="s">
        <v>85</v>
      </c>
      <c r="B13" s="11" t="s">
        <v>86</v>
      </c>
      <c r="C13" s="10" t="s">
        <v>87</v>
      </c>
      <c r="D13" s="10" t="s">
        <v>87</v>
      </c>
      <c r="E13" s="10" t="s">
        <v>88</v>
      </c>
      <c r="F13" s="10" t="s">
        <v>54</v>
      </c>
      <c r="G13" s="10" t="s">
        <v>89</v>
      </c>
      <c r="H13" s="10" t="s">
        <v>56</v>
      </c>
      <c r="I13" s="10" t="str">
        <f>HYPERLINK("http://www.nuovavaldichienti.it/","www.nuovavaldichienti.it")</f>
        <v>www.nuovavaldichienti.it</v>
      </c>
      <c r="J13" s="12">
        <v>1920.6579999999999</v>
      </c>
      <c r="K13" s="12">
        <v>1920.6579999999999</v>
      </c>
      <c r="L13" s="12">
        <v>1546.259</v>
      </c>
      <c r="M13" s="12">
        <v>1.5089999999999999</v>
      </c>
      <c r="N13" s="12">
        <v>1.5089999999999999</v>
      </c>
      <c r="O13" s="12">
        <v>1.427</v>
      </c>
      <c r="P13" s="13" t="s">
        <v>24</v>
      </c>
      <c r="Q13" s="13" t="s">
        <v>24</v>
      </c>
      <c r="R13" s="12">
        <v>9</v>
      </c>
    </row>
    <row r="14" spans="1:18" ht="17" customHeight="1" x14ac:dyDescent="0.2">
      <c r="A14" s="5" t="s">
        <v>90</v>
      </c>
      <c r="B14" s="6" t="s">
        <v>91</v>
      </c>
      <c r="C14" s="5" t="s">
        <v>92</v>
      </c>
      <c r="D14" s="5" t="s">
        <v>92</v>
      </c>
      <c r="E14" s="5" t="s">
        <v>93</v>
      </c>
      <c r="F14" s="5" t="s">
        <v>21</v>
      </c>
      <c r="G14" s="5" t="s">
        <v>94</v>
      </c>
      <c r="H14" s="5" t="s">
        <v>62</v>
      </c>
      <c r="I14" s="5" t="str">
        <f>HYPERLINK("http://www.viamercanti.it/","www.viamercanti.it")</f>
        <v>www.viamercanti.it</v>
      </c>
      <c r="J14" s="7">
        <v>1399.992</v>
      </c>
      <c r="K14" s="7">
        <v>1399.992</v>
      </c>
      <c r="L14" s="8">
        <v>1546.2629999999999</v>
      </c>
      <c r="M14" s="7">
        <v>7.6269999999999998</v>
      </c>
      <c r="N14" s="7">
        <v>7.6269999999999998</v>
      </c>
      <c r="O14" s="7">
        <v>38.874000000000002</v>
      </c>
      <c r="P14" s="7">
        <v>10</v>
      </c>
      <c r="Q14" s="7">
        <v>10</v>
      </c>
      <c r="R14" s="7">
        <v>10</v>
      </c>
    </row>
    <row r="15" spans="1:18" ht="17" customHeight="1" x14ac:dyDescent="0.2">
      <c r="A15" s="10" t="s">
        <v>95</v>
      </c>
      <c r="B15" s="11" t="s">
        <v>96</v>
      </c>
      <c r="C15" s="10" t="s">
        <v>97</v>
      </c>
      <c r="D15" s="10" t="s">
        <v>97</v>
      </c>
      <c r="E15" s="10" t="s">
        <v>98</v>
      </c>
      <c r="F15" s="10" t="s">
        <v>99</v>
      </c>
      <c r="G15" s="10" t="s">
        <v>100</v>
      </c>
      <c r="H15" s="10" t="s">
        <v>62</v>
      </c>
      <c r="I15" s="10" t="str">
        <f>HYPERLINK("http://sanninonapoli.com/","sanninonapoli.com")</f>
        <v>sanninonapoli.com</v>
      </c>
      <c r="J15" s="12">
        <v>868.99199999999996</v>
      </c>
      <c r="K15" s="12">
        <v>868.99199999999996</v>
      </c>
      <c r="L15" s="12">
        <v>1541.931</v>
      </c>
      <c r="M15" s="12">
        <v>-182.459</v>
      </c>
      <c r="N15" s="12">
        <v>-182.459</v>
      </c>
      <c r="O15" s="12">
        <v>86.988</v>
      </c>
      <c r="P15" s="12">
        <v>9</v>
      </c>
      <c r="Q15" s="12">
        <v>9</v>
      </c>
      <c r="R15" s="12">
        <v>7</v>
      </c>
    </row>
    <row r="16" spans="1:18" ht="17" customHeight="1" x14ac:dyDescent="0.2">
      <c r="A16" s="5" t="s">
        <v>101</v>
      </c>
      <c r="B16" s="6" t="s">
        <v>102</v>
      </c>
      <c r="C16" s="5" t="s">
        <v>103</v>
      </c>
      <c r="D16" s="5" t="s">
        <v>103</v>
      </c>
      <c r="E16" s="5" t="s">
        <v>104</v>
      </c>
      <c r="F16" s="5" t="s">
        <v>105</v>
      </c>
      <c r="G16" s="5" t="s">
        <v>49</v>
      </c>
      <c r="H16" s="5" t="s">
        <v>23</v>
      </c>
      <c r="I16" s="5" t="str">
        <f>HYPERLINK("http://www.frasconi.it/","http://www.frasconi.it")</f>
        <v>http://www.frasconi.it</v>
      </c>
      <c r="J16" s="7">
        <v>1913.9169999999999</v>
      </c>
      <c r="K16" s="7">
        <v>1913.9169999999999</v>
      </c>
      <c r="L16" s="8">
        <v>1541.2239999999999</v>
      </c>
      <c r="M16" s="7">
        <v>230.60300000000001</v>
      </c>
      <c r="N16" s="7">
        <v>230.60300000000001</v>
      </c>
      <c r="O16" s="7">
        <v>58.576999999999998</v>
      </c>
      <c r="P16" s="7">
        <v>13</v>
      </c>
      <c r="Q16" s="7">
        <v>13</v>
      </c>
      <c r="R16" s="7">
        <v>14</v>
      </c>
    </row>
    <row r="17" spans="1:18" ht="17" customHeight="1" x14ac:dyDescent="0.2">
      <c r="A17" s="10" t="s">
        <v>106</v>
      </c>
      <c r="B17" s="11" t="s">
        <v>107</v>
      </c>
      <c r="C17" s="10" t="s">
        <v>108</v>
      </c>
      <c r="D17" s="10" t="s">
        <v>108</v>
      </c>
      <c r="E17" s="10" t="s">
        <v>109</v>
      </c>
      <c r="F17" s="10" t="s">
        <v>29</v>
      </c>
      <c r="G17" s="10" t="s">
        <v>100</v>
      </c>
      <c r="H17" s="10" t="s">
        <v>62</v>
      </c>
      <c r="I17" s="10" t="str">
        <f>HYPERLINK("http://elleidonna.com/","elleidonna.com")</f>
        <v>elleidonna.com</v>
      </c>
      <c r="J17" s="12">
        <v>936.20500000000004</v>
      </c>
      <c r="K17" s="12">
        <v>936.20500000000004</v>
      </c>
      <c r="L17" s="12">
        <v>1540.3910000000001</v>
      </c>
      <c r="M17" s="12">
        <v>14.182</v>
      </c>
      <c r="N17" s="12">
        <v>14.182</v>
      </c>
      <c r="O17" s="12">
        <v>23.61</v>
      </c>
      <c r="P17" s="12">
        <v>5</v>
      </c>
      <c r="Q17" s="12">
        <v>5</v>
      </c>
      <c r="R17" s="12">
        <v>6</v>
      </c>
    </row>
    <row r="18" spans="1:18" ht="17" customHeight="1" x14ac:dyDescent="0.2">
      <c r="A18" s="5" t="s">
        <v>110</v>
      </c>
      <c r="B18" s="6" t="s">
        <v>111</v>
      </c>
      <c r="C18" s="5" t="s">
        <v>112</v>
      </c>
      <c r="D18" s="5" t="s">
        <v>112</v>
      </c>
      <c r="E18" s="5" t="s">
        <v>113</v>
      </c>
      <c r="F18" s="5" t="s">
        <v>114</v>
      </c>
      <c r="G18" s="5" t="s">
        <v>115</v>
      </c>
      <c r="H18" s="5" t="s">
        <v>43</v>
      </c>
      <c r="I18" s="5" t="str">
        <f>HYPERLINK("http://www.glomus.it/","http://www.glomus.it")</f>
        <v>http://www.glomus.it</v>
      </c>
      <c r="J18" s="7">
        <v>1333.51</v>
      </c>
      <c r="K18" s="7">
        <v>1333.51</v>
      </c>
      <c r="L18" s="8">
        <v>1537.1179999999999</v>
      </c>
      <c r="M18" s="7">
        <v>78.762</v>
      </c>
      <c r="N18" s="7">
        <v>78.762</v>
      </c>
      <c r="O18" s="7">
        <v>128.10599999999999</v>
      </c>
      <c r="P18" s="7">
        <v>5</v>
      </c>
      <c r="Q18" s="7">
        <v>5</v>
      </c>
      <c r="R18" s="7">
        <v>5</v>
      </c>
    </row>
    <row r="19" spans="1:18" ht="68" customHeight="1" x14ac:dyDescent="0.2">
      <c r="A19" s="10" t="s">
        <v>116</v>
      </c>
      <c r="B19" s="11" t="s">
        <v>117</v>
      </c>
      <c r="C19" s="10" t="s">
        <v>118</v>
      </c>
      <c r="D19" s="10" t="s">
        <v>118</v>
      </c>
      <c r="E19" s="10" t="s">
        <v>119</v>
      </c>
      <c r="F19" s="10" t="s">
        <v>72</v>
      </c>
      <c r="G19" s="10" t="s">
        <v>120</v>
      </c>
      <c r="H19" s="10" t="s">
        <v>121</v>
      </c>
      <c r="I19" s="10" t="str">
        <f>HYPERLINK("http://www.medicaltea.it/","www.medicaltea.it")</f>
        <v>www.medicaltea.it</v>
      </c>
      <c r="J19" s="12">
        <v>1662.7270000000001</v>
      </c>
      <c r="K19" s="12">
        <v>1662.7270000000001</v>
      </c>
      <c r="L19" s="12">
        <v>1535.3309999999999</v>
      </c>
      <c r="M19" s="12">
        <v>35.11</v>
      </c>
      <c r="N19" s="12">
        <v>35.11</v>
      </c>
      <c r="O19" s="12">
        <v>23.062999999999999</v>
      </c>
      <c r="P19" s="12">
        <v>19</v>
      </c>
      <c r="Q19" s="12">
        <v>19</v>
      </c>
      <c r="R19" s="12">
        <v>19</v>
      </c>
    </row>
    <row r="20" spans="1:18" ht="29.5" customHeight="1" x14ac:dyDescent="0.2">
      <c r="A20" s="5" t="s">
        <v>122</v>
      </c>
      <c r="B20" s="6" t="s">
        <v>123</v>
      </c>
      <c r="C20" s="5" t="s">
        <v>124</v>
      </c>
      <c r="D20" s="5" t="s">
        <v>124</v>
      </c>
      <c r="E20" s="5" t="s">
        <v>125</v>
      </c>
      <c r="F20" s="5" t="s">
        <v>21</v>
      </c>
      <c r="G20" s="5" t="s">
        <v>100</v>
      </c>
      <c r="H20" s="5" t="s">
        <v>62</v>
      </c>
      <c r="I20" s="5" t="str">
        <f>HYPERLINK("http://gianmarcosorelli.it/","gianmarcosorelli.it")</f>
        <v>gianmarcosorelli.it</v>
      </c>
      <c r="J20" s="7">
        <v>1973.6569999999999</v>
      </c>
      <c r="K20" s="7">
        <v>1973.6569999999999</v>
      </c>
      <c r="L20" s="8">
        <v>1533.29</v>
      </c>
      <c r="M20" s="7">
        <v>27.486000000000001</v>
      </c>
      <c r="N20" s="7">
        <v>27.486000000000001</v>
      </c>
      <c r="O20" s="7">
        <v>35.225999999999999</v>
      </c>
      <c r="P20" s="7">
        <v>13</v>
      </c>
      <c r="Q20" s="7">
        <v>13</v>
      </c>
      <c r="R20" s="7">
        <v>13</v>
      </c>
    </row>
    <row r="21" spans="1:18" ht="17" customHeight="1" x14ac:dyDescent="0.2">
      <c r="A21" s="10" t="s">
        <v>126</v>
      </c>
      <c r="B21" s="11" t="s">
        <v>127</v>
      </c>
      <c r="C21" s="10" t="s">
        <v>128</v>
      </c>
      <c r="D21" s="10" t="s">
        <v>128</v>
      </c>
      <c r="E21" s="10" t="s">
        <v>129</v>
      </c>
      <c r="F21" s="10" t="s">
        <v>21</v>
      </c>
      <c r="G21" s="10" t="s">
        <v>115</v>
      </c>
      <c r="H21" s="10" t="s">
        <v>43</v>
      </c>
      <c r="I21" s="10" t="str">
        <f>HYPERLINK("http://hideandjack.com/","hideandjack.com")</f>
        <v>hideandjack.com</v>
      </c>
      <c r="J21" s="12">
        <v>1266.6479999999999</v>
      </c>
      <c r="K21" s="12">
        <v>1266.6479999999999</v>
      </c>
      <c r="L21" s="12">
        <v>1532.4069999999999</v>
      </c>
      <c r="M21" s="12">
        <v>-207.47800000000001</v>
      </c>
      <c r="N21" s="12">
        <v>-207.47800000000001</v>
      </c>
      <c r="O21" s="12">
        <v>-144.958</v>
      </c>
      <c r="P21" s="12">
        <v>6</v>
      </c>
      <c r="Q21" s="12">
        <v>6</v>
      </c>
      <c r="R21" s="12">
        <v>6</v>
      </c>
    </row>
    <row r="22" spans="1:18" ht="29.5" customHeight="1" x14ac:dyDescent="0.2">
      <c r="A22" s="5" t="s">
        <v>130</v>
      </c>
      <c r="B22" s="6" t="s">
        <v>131</v>
      </c>
      <c r="C22" s="5" t="s">
        <v>132</v>
      </c>
      <c r="D22" s="5" t="s">
        <v>132</v>
      </c>
      <c r="E22" s="5" t="s">
        <v>133</v>
      </c>
      <c r="F22" s="5" t="s">
        <v>134</v>
      </c>
      <c r="G22" s="5" t="s">
        <v>135</v>
      </c>
      <c r="H22" s="5" t="s">
        <v>31</v>
      </c>
      <c r="I22" s="5" t="str">
        <f>HYPERLINK("http://www.scmfashion.com/","www.scmfashion.com")</f>
        <v>www.scmfashion.com</v>
      </c>
      <c r="J22" s="7">
        <v>1.133</v>
      </c>
      <c r="K22" s="7">
        <v>1.133</v>
      </c>
      <c r="L22" s="8">
        <v>1532.3209999999999</v>
      </c>
      <c r="M22" s="7">
        <v>-0.80200000000000005</v>
      </c>
      <c r="N22" s="7">
        <v>-0.80200000000000005</v>
      </c>
      <c r="O22" s="7">
        <v>73.8</v>
      </c>
      <c r="P22" s="9" t="s">
        <v>24</v>
      </c>
      <c r="Q22" s="9" t="s">
        <v>24</v>
      </c>
      <c r="R22" s="7">
        <v>24</v>
      </c>
    </row>
    <row r="23" spans="1:18" ht="17" customHeight="1" x14ac:dyDescent="0.2">
      <c r="A23" s="10" t="s">
        <v>136</v>
      </c>
      <c r="B23" s="11" t="s">
        <v>137</v>
      </c>
      <c r="C23" s="10" t="s">
        <v>138</v>
      </c>
      <c r="D23" s="10" t="s">
        <v>138</v>
      </c>
      <c r="E23" s="10" t="s">
        <v>139</v>
      </c>
      <c r="F23" s="10" t="s">
        <v>29</v>
      </c>
      <c r="G23" s="10" t="s">
        <v>140</v>
      </c>
      <c r="H23" s="10" t="s">
        <v>43</v>
      </c>
      <c r="I23" s="10" t="str">
        <f>HYPERLINK("http://www.mestrinersrl.com/","www.mestrinersrl.com")</f>
        <v>www.mestrinersrl.com</v>
      </c>
      <c r="J23" s="12">
        <v>1472.768</v>
      </c>
      <c r="K23" s="12">
        <v>1472.768</v>
      </c>
      <c r="L23" s="12">
        <v>1531.7629999999999</v>
      </c>
      <c r="M23" s="12">
        <v>15.212999999999999</v>
      </c>
      <c r="N23" s="12">
        <v>15.212999999999999</v>
      </c>
      <c r="O23" s="12">
        <v>49.156999999999996</v>
      </c>
      <c r="P23" s="12">
        <v>11</v>
      </c>
      <c r="Q23" s="12">
        <v>11</v>
      </c>
      <c r="R23" s="12">
        <v>11</v>
      </c>
    </row>
    <row r="24" spans="1:18" ht="17" customHeight="1" x14ac:dyDescent="0.2">
      <c r="A24" s="5" t="s">
        <v>141</v>
      </c>
      <c r="B24" s="6" t="s">
        <v>142</v>
      </c>
      <c r="C24" s="5" t="s">
        <v>143</v>
      </c>
      <c r="D24" s="5" t="s">
        <v>143</v>
      </c>
      <c r="E24" s="5" t="s">
        <v>144</v>
      </c>
      <c r="F24" s="5" t="s">
        <v>29</v>
      </c>
      <c r="G24" s="5" t="s">
        <v>94</v>
      </c>
      <c r="H24" s="5" t="s">
        <v>62</v>
      </c>
      <c r="I24" s="5" t="str">
        <f>HYPERLINK("http://www.thescarf.it/","www.thescarf.it")</f>
        <v>www.thescarf.it</v>
      </c>
      <c r="J24" s="7">
        <v>2318.3519999999999</v>
      </c>
      <c r="K24" s="7">
        <v>2318.3519999999999</v>
      </c>
      <c r="L24" s="8">
        <v>1531.7139999999999</v>
      </c>
      <c r="M24" s="7">
        <v>359.97500000000002</v>
      </c>
      <c r="N24" s="7">
        <v>359.97500000000002</v>
      </c>
      <c r="O24" s="7">
        <v>212.32400000000001</v>
      </c>
      <c r="P24" s="7">
        <v>9</v>
      </c>
      <c r="Q24" s="7">
        <v>9</v>
      </c>
      <c r="R24" s="7">
        <v>9</v>
      </c>
    </row>
    <row r="25" spans="1:18" ht="17" customHeight="1" x14ac:dyDescent="0.2">
      <c r="A25" s="10" t="s">
        <v>145</v>
      </c>
      <c r="B25" s="11" t="s">
        <v>146</v>
      </c>
      <c r="C25" s="10" t="s">
        <v>147</v>
      </c>
      <c r="D25" s="10" t="s">
        <v>147</v>
      </c>
      <c r="E25" s="10" t="s">
        <v>148</v>
      </c>
      <c r="F25" s="10" t="s">
        <v>149</v>
      </c>
      <c r="G25" s="10" t="s">
        <v>100</v>
      </c>
      <c r="H25" s="10" t="s">
        <v>62</v>
      </c>
      <c r="I25" s="10" t="str">
        <f>HYPERLINK("http://www.artesartoriale.it/","www.artesartoriale.it")</f>
        <v>www.artesartoriale.it</v>
      </c>
      <c r="J25" s="12">
        <v>1687.4839999999999</v>
      </c>
      <c r="K25" s="12">
        <v>1687.4839999999999</v>
      </c>
      <c r="L25" s="12">
        <v>1528.259</v>
      </c>
      <c r="M25" s="12">
        <v>51.548000000000002</v>
      </c>
      <c r="N25" s="12">
        <v>51.548000000000002</v>
      </c>
      <c r="O25" s="12">
        <v>43.095999999999997</v>
      </c>
      <c r="P25" s="13" t="s">
        <v>24</v>
      </c>
      <c r="Q25" s="13" t="s">
        <v>24</v>
      </c>
      <c r="R25" s="12">
        <v>9</v>
      </c>
    </row>
    <row r="26" spans="1:18" ht="17" customHeight="1" x14ac:dyDescent="0.2">
      <c r="A26" s="5" t="s">
        <v>150</v>
      </c>
      <c r="B26" s="6" t="s">
        <v>151</v>
      </c>
      <c r="C26" s="5" t="s">
        <v>152</v>
      </c>
      <c r="D26" s="5" t="s">
        <v>152</v>
      </c>
      <c r="E26" s="5" t="s">
        <v>153</v>
      </c>
      <c r="F26" s="5" t="s">
        <v>41</v>
      </c>
      <c r="G26" s="5" t="s">
        <v>49</v>
      </c>
      <c r="H26" s="5" t="s">
        <v>23</v>
      </c>
      <c r="I26" s="5" t="str">
        <f>HYPERLINK("http://www.mestamp.it/","www.mestamp.it")</f>
        <v>www.mestamp.it</v>
      </c>
      <c r="J26" s="7">
        <v>825.61599999999999</v>
      </c>
      <c r="K26" s="7">
        <v>825.61599999999999</v>
      </c>
      <c r="L26" s="8">
        <v>1527.106</v>
      </c>
      <c r="M26" s="7">
        <v>-214.71700000000001</v>
      </c>
      <c r="N26" s="7">
        <v>-214.71700000000001</v>
      </c>
      <c r="O26" s="7">
        <v>16.731000000000002</v>
      </c>
      <c r="P26" s="7">
        <v>19</v>
      </c>
      <c r="Q26" s="7">
        <v>19</v>
      </c>
      <c r="R26" s="7">
        <v>19</v>
      </c>
    </row>
    <row r="27" spans="1:18" ht="29.5" customHeight="1" x14ac:dyDescent="0.2">
      <c r="A27" s="10" t="s">
        <v>154</v>
      </c>
      <c r="B27" s="11" t="s">
        <v>155</v>
      </c>
      <c r="C27" s="10" t="s">
        <v>156</v>
      </c>
      <c r="D27" s="10" t="s">
        <v>156</v>
      </c>
      <c r="E27" s="10" t="s">
        <v>157</v>
      </c>
      <c r="F27" s="10" t="s">
        <v>29</v>
      </c>
      <c r="G27" s="10" t="s">
        <v>158</v>
      </c>
      <c r="H27" s="10" t="s">
        <v>159</v>
      </c>
      <c r="I27" s="10" t="str">
        <f>HYPERLINK("http://www.puntoverdemoda.it/","www.puntoverdemoda.it")</f>
        <v>www.puntoverdemoda.it</v>
      </c>
      <c r="J27" s="12">
        <v>1803.4559999999999</v>
      </c>
      <c r="K27" s="12">
        <v>1803.4559999999999</v>
      </c>
      <c r="L27" s="12">
        <v>1523.8520000000001</v>
      </c>
      <c r="M27" s="12">
        <v>15.532999999999999</v>
      </c>
      <c r="N27" s="12">
        <v>15.532999999999999</v>
      </c>
      <c r="O27" s="12">
        <v>3.706</v>
      </c>
      <c r="P27" s="12">
        <v>25</v>
      </c>
      <c r="Q27" s="12">
        <v>25</v>
      </c>
      <c r="R27" s="12">
        <v>25</v>
      </c>
    </row>
    <row r="28" spans="1:18" ht="17" customHeight="1" x14ac:dyDescent="0.2">
      <c r="A28" s="5" t="s">
        <v>160</v>
      </c>
      <c r="B28" s="6" t="s">
        <v>161</v>
      </c>
      <c r="C28" s="5" t="s">
        <v>162</v>
      </c>
      <c r="D28" s="5" t="s">
        <v>162</v>
      </c>
      <c r="E28" s="5" t="s">
        <v>163</v>
      </c>
      <c r="F28" s="5" t="s">
        <v>21</v>
      </c>
      <c r="G28" s="5" t="s">
        <v>79</v>
      </c>
      <c r="H28" s="5" t="s">
        <v>56</v>
      </c>
      <c r="I28" s="5" t="str">
        <f>HYPERLINK("http://www.penelopeshoes.com/","www.penelopeshoes.com")</f>
        <v>www.penelopeshoes.com</v>
      </c>
      <c r="J28" s="7">
        <v>1574.6949999999999</v>
      </c>
      <c r="K28" s="7">
        <v>1574.6949999999999</v>
      </c>
      <c r="L28" s="8">
        <v>1523.049</v>
      </c>
      <c r="M28" s="7">
        <v>114.78400000000001</v>
      </c>
      <c r="N28" s="7">
        <v>114.78400000000001</v>
      </c>
      <c r="O28" s="7">
        <v>116.307</v>
      </c>
      <c r="P28" s="7">
        <v>4</v>
      </c>
      <c r="Q28" s="7">
        <v>4</v>
      </c>
      <c r="R28" s="7">
        <v>3</v>
      </c>
    </row>
    <row r="29" spans="1:18" ht="17" customHeight="1" x14ac:dyDescent="0.2">
      <c r="A29" s="10" t="s">
        <v>164</v>
      </c>
      <c r="B29" s="11" t="s">
        <v>165</v>
      </c>
      <c r="C29" s="10" t="s">
        <v>166</v>
      </c>
      <c r="D29" s="10" t="s">
        <v>166</v>
      </c>
      <c r="E29" s="10" t="s">
        <v>167</v>
      </c>
      <c r="F29" s="10" t="s">
        <v>54</v>
      </c>
      <c r="G29" s="10" t="s">
        <v>79</v>
      </c>
      <c r="H29" s="10" t="s">
        <v>56</v>
      </c>
      <c r="I29" s="10" t="str">
        <f>HYPERLINK("http://www.pistonesi.com/","www.pistonesi.com")</f>
        <v>www.pistonesi.com</v>
      </c>
      <c r="J29" s="12">
        <v>1576.8869999999999</v>
      </c>
      <c r="K29" s="12">
        <v>1576.8869999999999</v>
      </c>
      <c r="L29" s="12">
        <v>1521.2639999999999</v>
      </c>
      <c r="M29" s="12">
        <v>20.327000000000002</v>
      </c>
      <c r="N29" s="12">
        <v>20.327000000000002</v>
      </c>
      <c r="O29" s="12">
        <v>27.969000000000001</v>
      </c>
      <c r="P29" s="12">
        <v>9</v>
      </c>
      <c r="Q29" s="12">
        <v>9</v>
      </c>
      <c r="R29" s="12">
        <v>10</v>
      </c>
    </row>
    <row r="30" spans="1:18" ht="17" customHeight="1" x14ac:dyDescent="0.2">
      <c r="A30" s="5" t="s">
        <v>168</v>
      </c>
      <c r="B30" s="6" t="s">
        <v>169</v>
      </c>
      <c r="C30" s="5" t="s">
        <v>170</v>
      </c>
      <c r="D30" s="5" t="s">
        <v>170</v>
      </c>
      <c r="E30" s="5" t="s">
        <v>171</v>
      </c>
      <c r="F30" s="5" t="s">
        <v>72</v>
      </c>
      <c r="G30" s="5" t="s">
        <v>73</v>
      </c>
      <c r="H30" s="5" t="s">
        <v>74</v>
      </c>
      <c r="I30" s="5" t="str">
        <f>HYPERLINK("http://www.calzeluisa.it/","www.calzeluisa.it")</f>
        <v>www.calzeluisa.it</v>
      </c>
      <c r="J30" s="7">
        <v>1487.307</v>
      </c>
      <c r="K30" s="7">
        <v>1487.307</v>
      </c>
      <c r="L30" s="8">
        <v>1521.222</v>
      </c>
      <c r="M30" s="7">
        <v>70.841999999999999</v>
      </c>
      <c r="N30" s="7">
        <v>70.841999999999999</v>
      </c>
      <c r="O30" s="7">
        <v>82.385000000000005</v>
      </c>
      <c r="P30" s="7">
        <v>9</v>
      </c>
      <c r="Q30" s="7">
        <v>9</v>
      </c>
      <c r="R30" s="7">
        <v>8</v>
      </c>
    </row>
    <row r="31" spans="1:18" ht="17" customHeight="1" x14ac:dyDescent="0.2">
      <c r="A31" s="10" t="s">
        <v>172</v>
      </c>
      <c r="B31" s="11" t="s">
        <v>173</v>
      </c>
      <c r="C31" s="10" t="s">
        <v>174</v>
      </c>
      <c r="D31" s="10" t="s">
        <v>174</v>
      </c>
      <c r="E31" s="10" t="s">
        <v>175</v>
      </c>
      <c r="F31" s="10" t="s">
        <v>48</v>
      </c>
      <c r="G31" s="10" t="s">
        <v>176</v>
      </c>
      <c r="H31" s="10" t="s">
        <v>56</v>
      </c>
      <c r="I31" s="10" t="str">
        <f>HYPERLINK("http://www.ballarinisrl.com/","www.ballarinisrl.com")</f>
        <v>www.ballarinisrl.com</v>
      </c>
      <c r="J31" s="12">
        <v>1418.81</v>
      </c>
      <c r="K31" s="12">
        <v>1418.81</v>
      </c>
      <c r="L31" s="12">
        <v>1520.386</v>
      </c>
      <c r="M31" s="12">
        <v>1.1519999999999999</v>
      </c>
      <c r="N31" s="12">
        <v>1.1519999999999999</v>
      </c>
      <c r="O31" s="12">
        <v>30.709</v>
      </c>
      <c r="P31" s="12">
        <v>15</v>
      </c>
      <c r="Q31" s="12">
        <v>15</v>
      </c>
      <c r="R31" s="12">
        <v>12</v>
      </c>
    </row>
    <row r="32" spans="1:18" ht="17" customHeight="1" x14ac:dyDescent="0.2">
      <c r="A32" s="5" t="s">
        <v>177</v>
      </c>
      <c r="B32" s="6" t="s">
        <v>178</v>
      </c>
      <c r="C32" s="5" t="s">
        <v>179</v>
      </c>
      <c r="D32" s="5" t="s">
        <v>179</v>
      </c>
      <c r="E32" s="5" t="s">
        <v>180</v>
      </c>
      <c r="F32" s="5" t="s">
        <v>181</v>
      </c>
      <c r="G32" s="5" t="s">
        <v>115</v>
      </c>
      <c r="H32" s="5" t="s">
        <v>43</v>
      </c>
      <c r="I32" s="5" t="str">
        <f>HYPERLINK("http://www.confezioninadiasrl.it/","www.confezioninadiasrl.it")</f>
        <v>www.confezioninadiasrl.it</v>
      </c>
      <c r="J32" s="7">
        <v>1852.5170000000001</v>
      </c>
      <c r="K32" s="7">
        <v>1852.5170000000001</v>
      </c>
      <c r="L32" s="8">
        <v>1519.365</v>
      </c>
      <c r="M32" s="7">
        <v>27.510999999999999</v>
      </c>
      <c r="N32" s="7">
        <v>27.510999999999999</v>
      </c>
      <c r="O32" s="7">
        <v>19.126000000000001</v>
      </c>
      <c r="P32" s="7">
        <v>13</v>
      </c>
      <c r="Q32" s="7">
        <v>13</v>
      </c>
      <c r="R32" s="7">
        <v>12</v>
      </c>
    </row>
    <row r="33" spans="1:18" ht="17" customHeight="1" x14ac:dyDescent="0.2">
      <c r="A33" s="10" t="s">
        <v>182</v>
      </c>
      <c r="B33" s="11" t="s">
        <v>183</v>
      </c>
      <c r="C33" s="10" t="s">
        <v>184</v>
      </c>
      <c r="D33" s="10" t="s">
        <v>184</v>
      </c>
      <c r="E33" s="10" t="s">
        <v>185</v>
      </c>
      <c r="F33" s="10" t="s">
        <v>21</v>
      </c>
      <c r="G33" s="10" t="s">
        <v>140</v>
      </c>
      <c r="H33" s="10" t="s">
        <v>43</v>
      </c>
      <c r="I33" s="10" t="str">
        <f>HYPERLINK("http://www.annielshop.com/","www.annielshop.com")</f>
        <v>www.annielshop.com</v>
      </c>
      <c r="J33" s="12">
        <v>1664.5630000000001</v>
      </c>
      <c r="K33" s="12">
        <v>1664.5630000000001</v>
      </c>
      <c r="L33" s="12">
        <v>1519.0060000000001</v>
      </c>
      <c r="M33" s="12">
        <v>4.4290000000000003</v>
      </c>
      <c r="N33" s="12">
        <v>4.4290000000000003</v>
      </c>
      <c r="O33" s="12">
        <v>11.515000000000001</v>
      </c>
      <c r="P33" s="12">
        <v>9</v>
      </c>
      <c r="Q33" s="12">
        <v>9</v>
      </c>
      <c r="R33" s="12">
        <v>13</v>
      </c>
    </row>
    <row r="34" spans="1:18" ht="29.5" customHeight="1" x14ac:dyDescent="0.2">
      <c r="A34" s="5" t="s">
        <v>186</v>
      </c>
      <c r="B34" s="6" t="s">
        <v>187</v>
      </c>
      <c r="C34" s="5" t="s">
        <v>188</v>
      </c>
      <c r="D34" s="5" t="s">
        <v>188</v>
      </c>
      <c r="E34" s="5" t="s">
        <v>189</v>
      </c>
      <c r="F34" s="5" t="s">
        <v>134</v>
      </c>
      <c r="G34" s="5" t="s">
        <v>190</v>
      </c>
      <c r="H34" s="5" t="s">
        <v>74</v>
      </c>
      <c r="I34" s="5" t="str">
        <f>HYPERLINK("http://www.peterlangner.com/","www.peterlangner.com")</f>
        <v>www.peterlangner.com</v>
      </c>
      <c r="J34" s="7">
        <v>1618.5150000000001</v>
      </c>
      <c r="K34" s="7">
        <v>1618.5150000000001</v>
      </c>
      <c r="L34" s="8">
        <v>1517.3440000000001</v>
      </c>
      <c r="M34" s="7">
        <v>-8.8079999999999998</v>
      </c>
      <c r="N34" s="7">
        <v>-8.8079999999999998</v>
      </c>
      <c r="O34" s="7">
        <v>7.6470000000000002</v>
      </c>
      <c r="P34" s="7">
        <v>20</v>
      </c>
      <c r="Q34" s="7">
        <v>20</v>
      </c>
      <c r="R34" s="7">
        <v>14</v>
      </c>
    </row>
    <row r="35" spans="1:18" ht="17" customHeight="1" x14ac:dyDescent="0.2">
      <c r="A35" s="10" t="s">
        <v>191</v>
      </c>
      <c r="B35" s="11" t="s">
        <v>192</v>
      </c>
      <c r="C35" s="10" t="s">
        <v>193</v>
      </c>
      <c r="D35" s="10" t="s">
        <v>193</v>
      </c>
      <c r="E35" s="10" t="s">
        <v>194</v>
      </c>
      <c r="F35" s="10" t="s">
        <v>21</v>
      </c>
      <c r="G35" s="10" t="s">
        <v>22</v>
      </c>
      <c r="H35" s="10" t="s">
        <v>23</v>
      </c>
      <c r="I35" s="10" t="str">
        <f>HYPERLINK("http://www.viadelleville.it/","www.viadelleville.it")</f>
        <v>www.viadelleville.it</v>
      </c>
      <c r="J35" s="12">
        <v>695.41300000000001</v>
      </c>
      <c r="K35" s="12">
        <v>695.41300000000001</v>
      </c>
      <c r="L35" s="12">
        <v>1517.09</v>
      </c>
      <c r="M35" s="12">
        <v>23.93</v>
      </c>
      <c r="N35" s="12">
        <v>23.93</v>
      </c>
      <c r="O35" s="12">
        <v>65.975999999999999</v>
      </c>
      <c r="P35" s="13" t="s">
        <v>24</v>
      </c>
      <c r="Q35" s="13" t="s">
        <v>24</v>
      </c>
      <c r="R35" s="12">
        <v>1</v>
      </c>
    </row>
    <row r="36" spans="1:18" ht="17" customHeight="1" x14ac:dyDescent="0.2">
      <c r="A36" s="5" t="s">
        <v>195</v>
      </c>
      <c r="B36" s="6" t="s">
        <v>196</v>
      </c>
      <c r="C36" s="5" t="s">
        <v>197</v>
      </c>
      <c r="D36" s="5" t="s">
        <v>197</v>
      </c>
      <c r="E36" s="5" t="s">
        <v>198</v>
      </c>
      <c r="F36" s="5" t="s">
        <v>21</v>
      </c>
      <c r="G36" s="5" t="s">
        <v>79</v>
      </c>
      <c r="H36" s="5" t="s">
        <v>56</v>
      </c>
      <c r="I36" s="5" t="str">
        <f>HYPERLINK("http://adno.surf/","adno.surf")</f>
        <v>adno.surf</v>
      </c>
      <c r="J36" s="7">
        <v>1430.3309999999999</v>
      </c>
      <c r="K36" s="7">
        <v>1430.3309999999999</v>
      </c>
      <c r="L36" s="8">
        <v>1514.55</v>
      </c>
      <c r="M36" s="7">
        <v>0.496</v>
      </c>
      <c r="N36" s="7">
        <v>0.496</v>
      </c>
      <c r="O36" s="7">
        <v>6.3120000000000003</v>
      </c>
      <c r="P36" s="9" t="s">
        <v>24</v>
      </c>
      <c r="Q36" s="9" t="s">
        <v>24</v>
      </c>
      <c r="R36" s="7">
        <v>11</v>
      </c>
    </row>
    <row r="37" spans="1:18" ht="17" customHeight="1" x14ac:dyDescent="0.2">
      <c r="A37" s="10" t="s">
        <v>199</v>
      </c>
      <c r="B37" s="11" t="s">
        <v>200</v>
      </c>
      <c r="C37" s="10" t="s">
        <v>201</v>
      </c>
      <c r="D37" s="10" t="s">
        <v>201</v>
      </c>
      <c r="E37" s="10" t="s">
        <v>202</v>
      </c>
      <c r="F37" s="10" t="s">
        <v>54</v>
      </c>
      <c r="G37" s="10" t="s">
        <v>89</v>
      </c>
      <c r="H37" s="10" t="s">
        <v>56</v>
      </c>
      <c r="I37" s="10" t="str">
        <f>HYPERLINK("http://www.rubek.com/","www.rubek.com")</f>
        <v>www.rubek.com</v>
      </c>
      <c r="J37" s="12">
        <v>947.74800000000005</v>
      </c>
      <c r="K37" s="12">
        <v>947.74800000000005</v>
      </c>
      <c r="L37" s="12">
        <v>1514.4190000000001</v>
      </c>
      <c r="M37" s="12">
        <v>-35.058999999999997</v>
      </c>
      <c r="N37" s="12">
        <v>-35.058999999999997</v>
      </c>
      <c r="O37" s="12">
        <v>244.69</v>
      </c>
      <c r="P37" s="12">
        <v>12</v>
      </c>
      <c r="Q37" s="12">
        <v>12</v>
      </c>
      <c r="R37" s="12">
        <v>13</v>
      </c>
    </row>
    <row r="38" spans="1:18" ht="17" customHeight="1" x14ac:dyDescent="0.2">
      <c r="A38" s="5" t="s">
        <v>203</v>
      </c>
      <c r="B38" s="6" t="s">
        <v>204</v>
      </c>
      <c r="C38" s="5" t="s">
        <v>205</v>
      </c>
      <c r="D38" s="5" t="s">
        <v>205</v>
      </c>
      <c r="E38" s="5" t="s">
        <v>206</v>
      </c>
      <c r="F38" s="5" t="s">
        <v>29</v>
      </c>
      <c r="G38" s="5" t="s">
        <v>61</v>
      </c>
      <c r="H38" s="5" t="s">
        <v>62</v>
      </c>
      <c r="I38" s="5" t="str">
        <f>HYPERLINK("http://orazioluciano.com/","orazioluciano.com")</f>
        <v>orazioluciano.com</v>
      </c>
      <c r="J38" s="7">
        <v>1606.9770000000001</v>
      </c>
      <c r="K38" s="7">
        <v>1606.9770000000001</v>
      </c>
      <c r="L38" s="8">
        <v>1513.172</v>
      </c>
      <c r="M38" s="7">
        <v>52.36</v>
      </c>
      <c r="N38" s="7">
        <v>52.36</v>
      </c>
      <c r="O38" s="7">
        <v>58.841999999999999</v>
      </c>
      <c r="P38" s="7">
        <v>14</v>
      </c>
      <c r="Q38" s="7">
        <v>14</v>
      </c>
      <c r="R38" s="7">
        <v>13</v>
      </c>
    </row>
    <row r="39" spans="1:18" ht="17" customHeight="1" x14ac:dyDescent="0.2">
      <c r="A39" s="10" t="s">
        <v>207</v>
      </c>
      <c r="B39" s="11" t="s">
        <v>208</v>
      </c>
      <c r="C39" s="10" t="s">
        <v>209</v>
      </c>
      <c r="D39" s="10" t="s">
        <v>209</v>
      </c>
      <c r="E39" s="10" t="s">
        <v>210</v>
      </c>
      <c r="F39" s="10" t="s">
        <v>105</v>
      </c>
      <c r="G39" s="10" t="s">
        <v>211</v>
      </c>
      <c r="H39" s="10" t="s">
        <v>74</v>
      </c>
      <c r="I39" s="10" t="str">
        <f>HYPERLINK("http://www.soligerolamoguanti.com/","www.soligerolamoguanti.com")</f>
        <v>www.soligerolamoguanti.com</v>
      </c>
      <c r="J39" s="12">
        <v>1304.3620000000001</v>
      </c>
      <c r="K39" s="12">
        <v>1304.3620000000001</v>
      </c>
      <c r="L39" s="12">
        <v>1506.499</v>
      </c>
      <c r="M39" s="12">
        <v>255.989</v>
      </c>
      <c r="N39" s="12">
        <v>255.989</v>
      </c>
      <c r="O39" s="12">
        <v>220.923</v>
      </c>
      <c r="P39" s="13" t="s">
        <v>24</v>
      </c>
      <c r="Q39" s="13" t="s">
        <v>24</v>
      </c>
      <c r="R39" s="12">
        <v>8</v>
      </c>
    </row>
    <row r="40" spans="1:18" ht="17" customHeight="1" x14ac:dyDescent="0.2">
      <c r="A40" s="5" t="s">
        <v>212</v>
      </c>
      <c r="B40" s="6" t="s">
        <v>213</v>
      </c>
      <c r="C40" s="5" t="s">
        <v>214</v>
      </c>
      <c r="D40" s="5" t="s">
        <v>214</v>
      </c>
      <c r="E40" s="5" t="s">
        <v>215</v>
      </c>
      <c r="F40" s="5" t="s">
        <v>29</v>
      </c>
      <c r="G40" s="5" t="s">
        <v>100</v>
      </c>
      <c r="H40" s="5" t="s">
        <v>62</v>
      </c>
      <c r="I40" s="5" t="str">
        <f>HYPERLINK("http://www.abbigliamentobambiniprixpourtoi.com/","www.abbigliamentobambiniprixpourtoi.com")</f>
        <v>www.abbigliamentobambiniprixpourtoi.com</v>
      </c>
      <c r="J40" s="7">
        <v>1978.5060000000001</v>
      </c>
      <c r="K40" s="7">
        <v>1978.5060000000001</v>
      </c>
      <c r="L40" s="8">
        <v>1502.972</v>
      </c>
      <c r="M40" s="7">
        <v>76.959000000000003</v>
      </c>
      <c r="N40" s="7">
        <v>76.959000000000003</v>
      </c>
      <c r="O40" s="7">
        <v>48.594000000000001</v>
      </c>
      <c r="P40" s="9" t="s">
        <v>24</v>
      </c>
      <c r="Q40" s="9" t="s">
        <v>24</v>
      </c>
      <c r="R40" s="7">
        <v>7</v>
      </c>
    </row>
    <row r="41" spans="1:18" ht="17" customHeight="1" x14ac:dyDescent="0.2">
      <c r="A41" s="10" t="s">
        <v>216</v>
      </c>
      <c r="B41" s="11" t="s">
        <v>217</v>
      </c>
      <c r="C41" s="10" t="s">
        <v>218</v>
      </c>
      <c r="D41" s="10" t="s">
        <v>218</v>
      </c>
      <c r="E41" s="10" t="s">
        <v>219</v>
      </c>
      <c r="F41" s="10" t="s">
        <v>134</v>
      </c>
      <c r="G41" s="10" t="s">
        <v>190</v>
      </c>
      <c r="H41" s="10" t="s">
        <v>74</v>
      </c>
      <c r="I41" s="10" t="str">
        <f>HYPERLINK("http://www.lospecchioconfezioni.com/","www.lospecchioconfezioni.com")</f>
        <v>www.lospecchioconfezioni.com</v>
      </c>
      <c r="J41" s="12">
        <v>2418.5459999999998</v>
      </c>
      <c r="K41" s="12">
        <v>2418.5459999999998</v>
      </c>
      <c r="L41" s="12">
        <v>1502.1089999999999</v>
      </c>
      <c r="M41" s="12">
        <v>4.9189999999999996</v>
      </c>
      <c r="N41" s="12">
        <v>4.9189999999999996</v>
      </c>
      <c r="O41" s="12">
        <v>12.081</v>
      </c>
      <c r="P41" s="12">
        <v>7</v>
      </c>
      <c r="Q41" s="12">
        <v>7</v>
      </c>
      <c r="R41" s="12">
        <v>7</v>
      </c>
    </row>
    <row r="42" spans="1:18" ht="17" customHeight="1" x14ac:dyDescent="0.2">
      <c r="A42" s="5" t="s">
        <v>220</v>
      </c>
      <c r="B42" s="6" t="s">
        <v>221</v>
      </c>
      <c r="C42" s="5" t="s">
        <v>222</v>
      </c>
      <c r="D42" s="5" t="s">
        <v>222</v>
      </c>
      <c r="E42" s="5" t="s">
        <v>223</v>
      </c>
      <c r="F42" s="5" t="s">
        <v>72</v>
      </c>
      <c r="G42" s="5" t="s">
        <v>224</v>
      </c>
      <c r="H42" s="5" t="s">
        <v>23</v>
      </c>
      <c r="I42" s="5" t="str">
        <f>HYPERLINK("http://www.stilnovo.it/","www.stilnovo.it")</f>
        <v>www.stilnovo.it</v>
      </c>
      <c r="J42" s="7">
        <v>1138.8019999999999</v>
      </c>
      <c r="K42" s="7">
        <v>1138.8019999999999</v>
      </c>
      <c r="L42" s="8">
        <v>1499.492</v>
      </c>
      <c r="M42" s="7">
        <v>-155.80799999999999</v>
      </c>
      <c r="N42" s="7">
        <v>-155.80799999999999</v>
      </c>
      <c r="O42" s="7">
        <v>22.173999999999999</v>
      </c>
      <c r="P42" s="7">
        <v>8</v>
      </c>
      <c r="Q42" s="7">
        <v>8</v>
      </c>
      <c r="R42" s="7">
        <v>7</v>
      </c>
    </row>
    <row r="43" spans="1:18" ht="17" customHeight="1" x14ac:dyDescent="0.2">
      <c r="A43" s="10" t="s">
        <v>225</v>
      </c>
      <c r="B43" s="11" t="s">
        <v>226</v>
      </c>
      <c r="C43" s="10" t="s">
        <v>227</v>
      </c>
      <c r="D43" s="10" t="s">
        <v>227</v>
      </c>
      <c r="E43" s="10" t="s">
        <v>228</v>
      </c>
      <c r="F43" s="10" t="s">
        <v>114</v>
      </c>
      <c r="G43" s="10" t="s">
        <v>229</v>
      </c>
      <c r="H43" s="10" t="s">
        <v>31</v>
      </c>
      <c r="I43" s="10" t="str">
        <f>HYPERLINK("http://www.italproduzioni.it/","www.italproduzioni.it")</f>
        <v>www.italproduzioni.it</v>
      </c>
      <c r="J43" s="12">
        <v>1544.3520000000001</v>
      </c>
      <c r="K43" s="12">
        <v>1544.3520000000001</v>
      </c>
      <c r="L43" s="12">
        <v>1499.29</v>
      </c>
      <c r="M43" s="12">
        <v>261.86900000000003</v>
      </c>
      <c r="N43" s="12">
        <v>261.86900000000003</v>
      </c>
      <c r="O43" s="12">
        <v>146.72</v>
      </c>
      <c r="P43" s="13" t="s">
        <v>24</v>
      </c>
      <c r="Q43" s="13" t="s">
        <v>24</v>
      </c>
      <c r="R43" s="12">
        <v>34</v>
      </c>
    </row>
    <row r="44" spans="1:18" ht="17" customHeight="1" x14ac:dyDescent="0.2">
      <c r="A44" s="5" t="s">
        <v>230</v>
      </c>
      <c r="B44" s="6" t="s">
        <v>231</v>
      </c>
      <c r="C44" s="5" t="s">
        <v>232</v>
      </c>
      <c r="D44" s="5" t="s">
        <v>232</v>
      </c>
      <c r="E44" s="5" t="s">
        <v>233</v>
      </c>
      <c r="F44" s="5" t="s">
        <v>105</v>
      </c>
      <c r="G44" s="5" t="s">
        <v>234</v>
      </c>
      <c r="H44" s="5" t="s">
        <v>23</v>
      </c>
      <c r="I44" s="5" t="str">
        <f>HYPERLINK("http://www.jrwmfashion.com/","www.jrwmfashion.com")</f>
        <v>www.jrwmfashion.com</v>
      </c>
      <c r="J44" s="7">
        <v>1546.107</v>
      </c>
      <c r="K44" s="7">
        <v>1546.107</v>
      </c>
      <c r="L44" s="8">
        <v>1497.1469999999999</v>
      </c>
      <c r="M44" s="7">
        <v>12.275</v>
      </c>
      <c r="N44" s="7">
        <v>12.275</v>
      </c>
      <c r="O44" s="7">
        <v>26.189</v>
      </c>
      <c r="P44" s="9" t="s">
        <v>24</v>
      </c>
      <c r="Q44" s="9" t="s">
        <v>24</v>
      </c>
      <c r="R44" s="7">
        <v>11</v>
      </c>
    </row>
    <row r="45" spans="1:18" ht="17" customHeight="1" x14ac:dyDescent="0.2">
      <c r="A45" s="10" t="s">
        <v>235</v>
      </c>
      <c r="B45" s="11" t="s">
        <v>236</v>
      </c>
      <c r="C45" s="10" t="s">
        <v>237</v>
      </c>
      <c r="D45" s="10" t="s">
        <v>237</v>
      </c>
      <c r="E45" s="10" t="s">
        <v>238</v>
      </c>
      <c r="F45" s="10" t="s">
        <v>41</v>
      </c>
      <c r="G45" s="10" t="s">
        <v>42</v>
      </c>
      <c r="H45" s="10" t="s">
        <v>43</v>
      </c>
      <c r="I45" s="10" t="str">
        <f>HYPERLINK("http://marchettopellami.com/","marchettopellami.com")</f>
        <v>marchettopellami.com</v>
      </c>
      <c r="J45" s="12">
        <v>3267.3409999999999</v>
      </c>
      <c r="K45" s="12">
        <v>150.34299999999999</v>
      </c>
      <c r="L45" s="12">
        <v>1494.25</v>
      </c>
      <c r="M45" s="12">
        <v>99.745999999999995</v>
      </c>
      <c r="N45" s="12">
        <v>-45.978999999999999</v>
      </c>
      <c r="O45" s="12">
        <v>25.613</v>
      </c>
      <c r="P45" s="12">
        <v>12</v>
      </c>
      <c r="Q45" s="12">
        <v>4</v>
      </c>
      <c r="R45" s="12">
        <v>24</v>
      </c>
    </row>
    <row r="46" spans="1:18" ht="17" customHeight="1" x14ac:dyDescent="0.2">
      <c r="A46" s="5" t="s">
        <v>239</v>
      </c>
      <c r="B46" s="6" t="s">
        <v>240</v>
      </c>
      <c r="C46" s="5" t="s">
        <v>241</v>
      </c>
      <c r="D46" s="5" t="s">
        <v>241</v>
      </c>
      <c r="E46" s="5" t="s">
        <v>242</v>
      </c>
      <c r="F46" s="5" t="s">
        <v>41</v>
      </c>
      <c r="G46" s="5" t="s">
        <v>42</v>
      </c>
      <c r="H46" s="5" t="s">
        <v>43</v>
      </c>
      <c r="I46" s="5" t="str">
        <f>HYPERLINK("http://www.conceriagiada.it/","www.conceriagiada.it")</f>
        <v>www.conceriagiada.it</v>
      </c>
      <c r="J46" s="7">
        <v>1457.97</v>
      </c>
      <c r="K46" s="7">
        <v>1457.97</v>
      </c>
      <c r="L46" s="8">
        <v>1493.6310000000001</v>
      </c>
      <c r="M46" s="7">
        <v>149.084</v>
      </c>
      <c r="N46" s="7">
        <v>149.084</v>
      </c>
      <c r="O46" s="7">
        <v>95.444999999999993</v>
      </c>
      <c r="P46" s="7">
        <v>0</v>
      </c>
      <c r="Q46" s="7">
        <v>0</v>
      </c>
      <c r="R46" s="7">
        <v>0</v>
      </c>
    </row>
    <row r="47" spans="1:18" ht="17" customHeight="1" x14ac:dyDescent="0.2">
      <c r="A47" s="10" t="s">
        <v>243</v>
      </c>
      <c r="B47" s="11" t="s">
        <v>244</v>
      </c>
      <c r="C47" s="10" t="s">
        <v>245</v>
      </c>
      <c r="D47" s="10" t="s">
        <v>245</v>
      </c>
      <c r="E47" s="10" t="s">
        <v>246</v>
      </c>
      <c r="F47" s="10" t="s">
        <v>72</v>
      </c>
      <c r="G47" s="10" t="s">
        <v>247</v>
      </c>
      <c r="H47" s="10" t="s">
        <v>74</v>
      </c>
      <c r="I47" s="10" t="str">
        <f>HYPERLINK("http://www.dansidance.it/","www.dansidance.it")</f>
        <v>www.dansidance.it</v>
      </c>
      <c r="J47" s="12">
        <v>595.06299999999999</v>
      </c>
      <c r="K47" s="12">
        <v>595.06299999999999</v>
      </c>
      <c r="L47" s="12">
        <v>1493.479</v>
      </c>
      <c r="M47" s="12">
        <v>-64.212000000000003</v>
      </c>
      <c r="N47" s="12">
        <v>-64.212000000000003</v>
      </c>
      <c r="O47" s="12">
        <v>197.828</v>
      </c>
      <c r="P47" s="12">
        <v>8</v>
      </c>
      <c r="Q47" s="12">
        <v>8</v>
      </c>
      <c r="R47" s="12">
        <v>5</v>
      </c>
    </row>
    <row r="48" spans="1:18" ht="29.5" customHeight="1" x14ac:dyDescent="0.2">
      <c r="A48" s="5" t="s">
        <v>248</v>
      </c>
      <c r="B48" s="6" t="s">
        <v>249</v>
      </c>
      <c r="C48" s="5" t="s">
        <v>250</v>
      </c>
      <c r="D48" s="5" t="s">
        <v>250</v>
      </c>
      <c r="E48" s="5" t="s">
        <v>251</v>
      </c>
      <c r="F48" s="5" t="s">
        <v>252</v>
      </c>
      <c r="G48" s="5" t="s">
        <v>253</v>
      </c>
      <c r="H48" s="5" t="s">
        <v>56</v>
      </c>
      <c r="I48" s="5" t="str">
        <f>HYPERLINK("http://www.manifatturedelnevola.it/","www.manifatturedelnevola.it")</f>
        <v>www.manifatturedelnevola.it</v>
      </c>
      <c r="J48" s="7">
        <v>2111.3679999999999</v>
      </c>
      <c r="K48" s="7">
        <v>2111.3679999999999</v>
      </c>
      <c r="L48" s="8">
        <v>1491.2</v>
      </c>
      <c r="M48" s="7">
        <v>5.2480000000000002</v>
      </c>
      <c r="N48" s="7">
        <v>5.2480000000000002</v>
      </c>
      <c r="O48" s="7">
        <v>0.126</v>
      </c>
      <c r="P48" s="7">
        <v>15</v>
      </c>
      <c r="Q48" s="7">
        <v>15</v>
      </c>
      <c r="R48" s="7">
        <v>20</v>
      </c>
    </row>
    <row r="49" spans="1:18" ht="17" customHeight="1" x14ac:dyDescent="0.2">
      <c r="A49" s="10" t="s">
        <v>254</v>
      </c>
      <c r="B49" s="11" t="s">
        <v>255</v>
      </c>
      <c r="C49" s="10" t="s">
        <v>256</v>
      </c>
      <c r="D49" s="10" t="s">
        <v>256</v>
      </c>
      <c r="E49" s="10" t="s">
        <v>257</v>
      </c>
      <c r="F49" s="10" t="s">
        <v>48</v>
      </c>
      <c r="G49" s="10" t="s">
        <v>224</v>
      </c>
      <c r="H49" s="10" t="s">
        <v>23</v>
      </c>
      <c r="I49" s="10" t="str">
        <f>HYPERLINK("http://www.melissasrl.it/","www.melissasrl.it")</f>
        <v>www.melissasrl.it</v>
      </c>
      <c r="J49" s="12">
        <v>1607.2619999999999</v>
      </c>
      <c r="K49" s="12">
        <v>1607.2619999999999</v>
      </c>
      <c r="L49" s="12">
        <v>1489.8140000000001</v>
      </c>
      <c r="M49" s="12">
        <v>355.95</v>
      </c>
      <c r="N49" s="12">
        <v>355.95</v>
      </c>
      <c r="O49" s="12">
        <v>406.67099999999999</v>
      </c>
      <c r="P49" s="12">
        <v>21</v>
      </c>
      <c r="Q49" s="12">
        <v>21</v>
      </c>
      <c r="R49" s="12">
        <v>22</v>
      </c>
    </row>
    <row r="50" spans="1:18" ht="17" customHeight="1" x14ac:dyDescent="0.2">
      <c r="A50" s="5" t="s">
        <v>258</v>
      </c>
      <c r="B50" s="6" t="s">
        <v>259</v>
      </c>
      <c r="C50" s="5" t="s">
        <v>260</v>
      </c>
      <c r="D50" s="5" t="s">
        <v>260</v>
      </c>
      <c r="E50" s="5" t="s">
        <v>261</v>
      </c>
      <c r="F50" s="5" t="s">
        <v>114</v>
      </c>
      <c r="G50" s="5" t="s">
        <v>158</v>
      </c>
      <c r="H50" s="5" t="s">
        <v>159</v>
      </c>
      <c r="I50" s="5" t="str">
        <f>HYPERLINK("http://www.care-label.it/","www.care-label.it")</f>
        <v>www.care-label.it</v>
      </c>
      <c r="J50" s="7">
        <v>1520.6189999999999</v>
      </c>
      <c r="K50" s="7">
        <v>1520.6189999999999</v>
      </c>
      <c r="L50" s="8">
        <v>1488.028</v>
      </c>
      <c r="M50" s="7">
        <v>26.765000000000001</v>
      </c>
      <c r="N50" s="7">
        <v>26.765000000000001</v>
      </c>
      <c r="O50" s="7">
        <v>75.215000000000003</v>
      </c>
      <c r="P50" s="9" t="s">
        <v>24</v>
      </c>
      <c r="Q50" s="9" t="s">
        <v>24</v>
      </c>
      <c r="R50" s="7">
        <v>4</v>
      </c>
    </row>
    <row r="51" spans="1:18" ht="17" customHeight="1" x14ac:dyDescent="0.2">
      <c r="A51" s="10" t="s">
        <v>262</v>
      </c>
      <c r="B51" s="11" t="s">
        <v>263</v>
      </c>
      <c r="C51" s="10" t="s">
        <v>264</v>
      </c>
      <c r="D51" s="10" t="s">
        <v>264</v>
      </c>
      <c r="E51" s="10" t="s">
        <v>265</v>
      </c>
      <c r="F51" s="10" t="s">
        <v>29</v>
      </c>
      <c r="G51" s="10" t="s">
        <v>234</v>
      </c>
      <c r="H51" s="10" t="s">
        <v>23</v>
      </c>
      <c r="I51" s="10" t="str">
        <f>HYPERLINK("http://www.danielag.it/","www.danielag.it")</f>
        <v>www.danielag.it</v>
      </c>
      <c r="J51" s="12">
        <v>1680.5509999999999</v>
      </c>
      <c r="K51" s="12">
        <v>1680.5509999999999</v>
      </c>
      <c r="L51" s="12">
        <v>1487.693</v>
      </c>
      <c r="M51" s="12">
        <v>18.481000000000002</v>
      </c>
      <c r="N51" s="12">
        <v>18.481000000000002</v>
      </c>
      <c r="O51" s="12">
        <v>19.515999999999998</v>
      </c>
      <c r="P51" s="12">
        <v>7</v>
      </c>
      <c r="Q51" s="12">
        <v>7</v>
      </c>
      <c r="R51" s="12">
        <v>7</v>
      </c>
    </row>
    <row r="52" spans="1:18" ht="17" customHeight="1" x14ac:dyDescent="0.2">
      <c r="A52" s="5" t="s">
        <v>266</v>
      </c>
      <c r="B52" s="6" t="s">
        <v>267</v>
      </c>
      <c r="C52" s="5" t="s">
        <v>268</v>
      </c>
      <c r="D52" s="5" t="s">
        <v>268</v>
      </c>
      <c r="E52" s="5" t="s">
        <v>269</v>
      </c>
      <c r="F52" s="5" t="s">
        <v>252</v>
      </c>
      <c r="G52" s="5" t="s">
        <v>42</v>
      </c>
      <c r="H52" s="5" t="s">
        <v>43</v>
      </c>
      <c r="I52" s="5" t="str">
        <f>HYPERLINK("http://www.still95.it/","www.still95.it")</f>
        <v>www.still95.it</v>
      </c>
      <c r="J52" s="7">
        <v>2877.7739999999999</v>
      </c>
      <c r="K52" s="7">
        <v>2877.7739999999999</v>
      </c>
      <c r="L52" s="8">
        <v>1486.1320000000001</v>
      </c>
      <c r="M52" s="7">
        <v>191.92699999999999</v>
      </c>
      <c r="N52" s="7">
        <v>191.92699999999999</v>
      </c>
      <c r="O52" s="7">
        <v>34.962000000000003</v>
      </c>
      <c r="P52" s="7">
        <v>14</v>
      </c>
      <c r="Q52" s="7">
        <v>14</v>
      </c>
      <c r="R52" s="7">
        <v>13</v>
      </c>
    </row>
    <row r="53" spans="1:18" ht="17" customHeight="1" x14ac:dyDescent="0.2">
      <c r="A53" s="10" t="s">
        <v>270</v>
      </c>
      <c r="B53" s="11" t="s">
        <v>271</v>
      </c>
      <c r="C53" s="10" t="s">
        <v>272</v>
      </c>
      <c r="D53" s="10" t="s">
        <v>272</v>
      </c>
      <c r="E53" s="10" t="s">
        <v>273</v>
      </c>
      <c r="F53" s="10" t="s">
        <v>105</v>
      </c>
      <c r="G53" s="10" t="s">
        <v>274</v>
      </c>
      <c r="H53" s="10" t="s">
        <v>31</v>
      </c>
      <c r="I53" s="10" t="str">
        <f>HYPERLINK("http://www.dickson-camicie.it/","www.dickson-camicie.it")</f>
        <v>www.dickson-camicie.it</v>
      </c>
      <c r="J53" s="12">
        <v>2072.4459999999999</v>
      </c>
      <c r="K53" s="12">
        <v>2072.4459999999999</v>
      </c>
      <c r="L53" s="12">
        <v>1486.146</v>
      </c>
      <c r="M53" s="12">
        <v>30.427</v>
      </c>
      <c r="N53" s="12">
        <v>30.427</v>
      </c>
      <c r="O53" s="12">
        <v>16.59</v>
      </c>
      <c r="P53" s="13" t="s">
        <v>24</v>
      </c>
      <c r="Q53" s="13" t="s">
        <v>24</v>
      </c>
      <c r="R53" s="12">
        <v>9</v>
      </c>
    </row>
    <row r="54" spans="1:18" ht="29.5" customHeight="1" x14ac:dyDescent="0.2">
      <c r="A54" s="5" t="s">
        <v>275</v>
      </c>
      <c r="B54" s="6" t="s">
        <v>276</v>
      </c>
      <c r="C54" s="5" t="s">
        <v>277</v>
      </c>
      <c r="D54" s="5" t="s">
        <v>277</v>
      </c>
      <c r="E54" s="5" t="s">
        <v>278</v>
      </c>
      <c r="F54" s="5" t="s">
        <v>114</v>
      </c>
      <c r="G54" s="5" t="s">
        <v>229</v>
      </c>
      <c r="H54" s="5" t="s">
        <v>31</v>
      </c>
      <c r="I54" s="5" t="str">
        <f>HYPERLINK("http://smartlabitalia.com/","smartlabitalia.com")</f>
        <v>smartlabitalia.com</v>
      </c>
      <c r="J54" s="7">
        <v>1840.327</v>
      </c>
      <c r="K54" s="7">
        <v>1840.327</v>
      </c>
      <c r="L54" s="8">
        <v>1484.809</v>
      </c>
      <c r="M54" s="7">
        <v>27.378</v>
      </c>
      <c r="N54" s="7">
        <v>27.378</v>
      </c>
      <c r="O54" s="7">
        <v>21.856999999999999</v>
      </c>
      <c r="P54" s="9" t="s">
        <v>24</v>
      </c>
      <c r="Q54" s="9" t="s">
        <v>24</v>
      </c>
      <c r="R54" s="7">
        <v>15</v>
      </c>
    </row>
    <row r="55" spans="1:18" ht="17" customHeight="1" x14ac:dyDescent="0.2">
      <c r="A55" s="10" t="s">
        <v>279</v>
      </c>
      <c r="B55" s="11" t="s">
        <v>280</v>
      </c>
      <c r="C55" s="10" t="s">
        <v>281</v>
      </c>
      <c r="D55" s="10" t="s">
        <v>281</v>
      </c>
      <c r="E55" s="10" t="s">
        <v>282</v>
      </c>
      <c r="F55" s="10" t="s">
        <v>72</v>
      </c>
      <c r="G55" s="10" t="s">
        <v>283</v>
      </c>
      <c r="H55" s="10" t="s">
        <v>74</v>
      </c>
      <c r="I55" s="10" t="str">
        <f>HYPERLINK("http://www.lalunacollant.com/","www.lalunacollant.com")</f>
        <v>www.lalunacollant.com</v>
      </c>
      <c r="J55" s="12">
        <v>1240.742</v>
      </c>
      <c r="K55" s="12">
        <v>1240.742</v>
      </c>
      <c r="L55" s="12">
        <v>1484.5619999999999</v>
      </c>
      <c r="M55" s="12">
        <v>132.113</v>
      </c>
      <c r="N55" s="12">
        <v>132.113</v>
      </c>
      <c r="O55" s="12">
        <v>233.36</v>
      </c>
      <c r="P55" s="12">
        <v>14</v>
      </c>
      <c r="Q55" s="12">
        <v>14</v>
      </c>
      <c r="R55" s="12">
        <v>16</v>
      </c>
    </row>
    <row r="56" spans="1:18" ht="17" customHeight="1" x14ac:dyDescent="0.2">
      <c r="A56" s="5" t="s">
        <v>284</v>
      </c>
      <c r="B56" s="6" t="s">
        <v>285</v>
      </c>
      <c r="C56" s="5" t="s">
        <v>286</v>
      </c>
      <c r="D56" s="5" t="s">
        <v>286</v>
      </c>
      <c r="E56" s="5" t="s">
        <v>287</v>
      </c>
      <c r="F56" s="5" t="s">
        <v>134</v>
      </c>
      <c r="G56" s="5" t="s">
        <v>140</v>
      </c>
      <c r="H56" s="5" t="s">
        <v>43</v>
      </c>
      <c r="I56" s="5" t="str">
        <f>HYPERLINK("http://2022.faustosari.com/","2022.faustosari.com")</f>
        <v>2022.faustosari.com</v>
      </c>
      <c r="J56" s="7">
        <v>1361.164</v>
      </c>
      <c r="K56" s="7">
        <v>1361.164</v>
      </c>
      <c r="L56" s="8">
        <v>1484.374</v>
      </c>
      <c r="M56" s="7">
        <v>9.048</v>
      </c>
      <c r="N56" s="7">
        <v>9.048</v>
      </c>
      <c r="O56" s="7">
        <v>20.529</v>
      </c>
      <c r="P56" s="7">
        <v>14</v>
      </c>
      <c r="Q56" s="7">
        <v>14</v>
      </c>
      <c r="R56" s="7">
        <v>13</v>
      </c>
    </row>
    <row r="57" spans="1:18" ht="17" customHeight="1" x14ac:dyDescent="0.2">
      <c r="A57" s="10" t="s">
        <v>288</v>
      </c>
      <c r="B57" s="11" t="s">
        <v>289</v>
      </c>
      <c r="C57" s="10" t="s">
        <v>290</v>
      </c>
      <c r="D57" s="10" t="s">
        <v>291</v>
      </c>
      <c r="E57" s="10" t="s">
        <v>292</v>
      </c>
      <c r="F57" s="10" t="s">
        <v>114</v>
      </c>
      <c r="G57" s="10" t="s">
        <v>293</v>
      </c>
      <c r="H57" s="10" t="s">
        <v>74</v>
      </c>
      <c r="I57" s="10" t="str">
        <f>HYPERLINK("http://corima.net/","corima.net")</f>
        <v>corima.net</v>
      </c>
      <c r="J57" s="12">
        <v>1742.2159999999999</v>
      </c>
      <c r="K57" s="12">
        <v>1742.2159999999999</v>
      </c>
      <c r="L57" s="12">
        <v>1479.5650000000001</v>
      </c>
      <c r="M57" s="12">
        <v>-139.05699999999999</v>
      </c>
      <c r="N57" s="12">
        <v>-139.05699999999999</v>
      </c>
      <c r="O57" s="12">
        <v>5.2510000000000003</v>
      </c>
      <c r="P57" s="12">
        <v>3</v>
      </c>
      <c r="Q57" s="12">
        <v>3</v>
      </c>
      <c r="R57" s="12">
        <v>3</v>
      </c>
    </row>
    <row r="58" spans="1:18" ht="17" customHeight="1" x14ac:dyDescent="0.2">
      <c r="A58" s="5" t="s">
        <v>294</v>
      </c>
      <c r="B58" s="6" t="s">
        <v>295</v>
      </c>
      <c r="C58" s="5" t="s">
        <v>296</v>
      </c>
      <c r="D58" s="5" t="s">
        <v>296</v>
      </c>
      <c r="E58" s="5" t="s">
        <v>297</v>
      </c>
      <c r="F58" s="5" t="s">
        <v>181</v>
      </c>
      <c r="G58" s="5" t="s">
        <v>298</v>
      </c>
      <c r="H58" s="5" t="s">
        <v>299</v>
      </c>
      <c r="I58" s="5" t="str">
        <f>HYPERLINK("http://www.orimoda.it/","www.orimoda.it")</f>
        <v>www.orimoda.it</v>
      </c>
      <c r="J58" s="7">
        <v>1601.569</v>
      </c>
      <c r="K58" s="7">
        <v>1601.569</v>
      </c>
      <c r="L58" s="8">
        <v>1479.491</v>
      </c>
      <c r="M58" s="7">
        <v>36.103000000000002</v>
      </c>
      <c r="N58" s="7">
        <v>36.103000000000002</v>
      </c>
      <c r="O58" s="7">
        <v>35.246000000000002</v>
      </c>
      <c r="P58" s="9" t="s">
        <v>24</v>
      </c>
      <c r="Q58" s="9" t="s">
        <v>24</v>
      </c>
      <c r="R58" s="7">
        <v>3</v>
      </c>
    </row>
    <row r="59" spans="1:18" ht="17" customHeight="1" x14ac:dyDescent="0.2">
      <c r="A59" s="10" t="s">
        <v>300</v>
      </c>
      <c r="B59" s="11" t="s">
        <v>301</v>
      </c>
      <c r="C59" s="10" t="s">
        <v>302</v>
      </c>
      <c r="D59" s="10" t="s">
        <v>302</v>
      </c>
      <c r="E59" s="10" t="s">
        <v>303</v>
      </c>
      <c r="F59" s="10" t="s">
        <v>54</v>
      </c>
      <c r="G59" s="10" t="s">
        <v>84</v>
      </c>
      <c r="H59" s="10" t="s">
        <v>74</v>
      </c>
      <c r="I59" s="10" t="str">
        <f>HYPERLINK("http://www.nuovaimmaginesrl.com/","www.nuovaimmaginesrl.com")</f>
        <v>www.nuovaimmaginesrl.com</v>
      </c>
      <c r="J59" s="12">
        <v>1642.6969999999999</v>
      </c>
      <c r="K59" s="12">
        <v>1642.6969999999999</v>
      </c>
      <c r="L59" s="12">
        <v>1479.4269999999999</v>
      </c>
      <c r="M59" s="12">
        <v>284.73099999999999</v>
      </c>
      <c r="N59" s="12">
        <v>284.73099999999999</v>
      </c>
      <c r="O59" s="12">
        <v>258.57</v>
      </c>
      <c r="P59" s="12">
        <v>13</v>
      </c>
      <c r="Q59" s="12">
        <v>13</v>
      </c>
      <c r="R59" s="12">
        <v>12</v>
      </c>
    </row>
    <row r="60" spans="1:18" ht="17" customHeight="1" x14ac:dyDescent="0.2">
      <c r="A60" s="5" t="s">
        <v>304</v>
      </c>
      <c r="B60" s="6" t="s">
        <v>305</v>
      </c>
      <c r="C60" s="5" t="s">
        <v>306</v>
      </c>
      <c r="D60" s="5" t="s">
        <v>306</v>
      </c>
      <c r="E60" s="5" t="s">
        <v>307</v>
      </c>
      <c r="F60" s="5" t="s">
        <v>29</v>
      </c>
      <c r="G60" s="5" t="s">
        <v>308</v>
      </c>
      <c r="H60" s="5" t="s">
        <v>299</v>
      </c>
      <c r="I60" s="5" t="str">
        <f>HYPERLINK("http://www.cuffieregina.it/","www.cuffieregina.it")</f>
        <v>www.cuffieregina.it</v>
      </c>
      <c r="J60" s="7">
        <v>1578.5730000000001</v>
      </c>
      <c r="K60" s="7">
        <v>1578.5730000000001</v>
      </c>
      <c r="L60" s="8">
        <v>1479.4390000000001</v>
      </c>
      <c r="M60" s="7">
        <v>-29.57</v>
      </c>
      <c r="N60" s="7">
        <v>-29.57</v>
      </c>
      <c r="O60" s="7">
        <v>28.468</v>
      </c>
      <c r="P60" s="7">
        <v>7</v>
      </c>
      <c r="Q60" s="7">
        <v>7</v>
      </c>
      <c r="R60" s="7">
        <v>6</v>
      </c>
    </row>
    <row r="61" spans="1:18" ht="17" customHeight="1" x14ac:dyDescent="0.2">
      <c r="A61" s="10" t="s">
        <v>309</v>
      </c>
      <c r="B61" s="11" t="s">
        <v>310</v>
      </c>
      <c r="C61" s="10" t="s">
        <v>311</v>
      </c>
      <c r="D61" s="10" t="s">
        <v>311</v>
      </c>
      <c r="E61" s="10" t="s">
        <v>312</v>
      </c>
      <c r="F61" s="10" t="s">
        <v>114</v>
      </c>
      <c r="G61" s="10" t="s">
        <v>135</v>
      </c>
      <c r="H61" s="10" t="s">
        <v>31</v>
      </c>
      <c r="I61" s="10" t="str">
        <f>HYPERLINK("http://sambati.it/","sambati.it")</f>
        <v>sambati.it</v>
      </c>
      <c r="J61" s="12">
        <v>1511.941</v>
      </c>
      <c r="K61" s="12">
        <v>1511.941</v>
      </c>
      <c r="L61" s="12">
        <v>1479.2429999999999</v>
      </c>
      <c r="M61" s="12">
        <v>147.94300000000001</v>
      </c>
      <c r="N61" s="12">
        <v>147.94300000000001</v>
      </c>
      <c r="O61" s="12">
        <v>255.947</v>
      </c>
      <c r="P61" s="13" t="s">
        <v>24</v>
      </c>
      <c r="Q61" s="13" t="s">
        <v>24</v>
      </c>
      <c r="R61" s="12">
        <v>27</v>
      </c>
    </row>
    <row r="62" spans="1:18" ht="17" customHeight="1" x14ac:dyDescent="0.2">
      <c r="A62" s="5" t="s">
        <v>313</v>
      </c>
      <c r="B62" s="6" t="s">
        <v>314</v>
      </c>
      <c r="C62" s="5" t="s">
        <v>315</v>
      </c>
      <c r="D62" s="5" t="s">
        <v>315</v>
      </c>
      <c r="E62" s="5" t="s">
        <v>316</v>
      </c>
      <c r="F62" s="5" t="s">
        <v>114</v>
      </c>
      <c r="G62" s="5" t="s">
        <v>115</v>
      </c>
      <c r="H62" s="5" t="s">
        <v>43</v>
      </c>
      <c r="I62" s="5" t="str">
        <f>HYPERLINK("http://www.conbimoda.com/","www.conbimoda.com")</f>
        <v>www.conbimoda.com</v>
      </c>
      <c r="J62" s="7">
        <v>1628.337</v>
      </c>
      <c r="K62" s="7">
        <v>1628.337</v>
      </c>
      <c r="L62" s="8">
        <v>1476.8009999999999</v>
      </c>
      <c r="M62" s="7">
        <v>75.852999999999994</v>
      </c>
      <c r="N62" s="7">
        <v>75.852999999999994</v>
      </c>
      <c r="O62" s="7">
        <v>95.384</v>
      </c>
      <c r="P62" s="9" t="s">
        <v>24</v>
      </c>
      <c r="Q62" s="9" t="s">
        <v>24</v>
      </c>
      <c r="R62" s="7">
        <v>16</v>
      </c>
    </row>
    <row r="63" spans="1:18" ht="17" customHeight="1" x14ac:dyDescent="0.2">
      <c r="A63" s="10" t="s">
        <v>317</v>
      </c>
      <c r="B63" s="11" t="s">
        <v>318</v>
      </c>
      <c r="C63" s="10" t="s">
        <v>319</v>
      </c>
      <c r="D63" s="10" t="s">
        <v>319</v>
      </c>
      <c r="E63" s="10" t="s">
        <v>320</v>
      </c>
      <c r="F63" s="10" t="s">
        <v>48</v>
      </c>
      <c r="G63" s="10" t="s">
        <v>42</v>
      </c>
      <c r="H63" s="10" t="s">
        <v>43</v>
      </c>
      <c r="I63" s="10" t="str">
        <f>HYPERLINK("http://www.emmeerre.srl/","www.emmeerre.srl")</f>
        <v>www.emmeerre.srl</v>
      </c>
      <c r="J63" s="12">
        <v>2080.3020000000001</v>
      </c>
      <c r="K63" s="12">
        <v>2080.3020000000001</v>
      </c>
      <c r="L63" s="12">
        <v>1476.681</v>
      </c>
      <c r="M63" s="12">
        <v>-38.884</v>
      </c>
      <c r="N63" s="12">
        <v>-38.884</v>
      </c>
      <c r="O63" s="12">
        <v>25.146000000000001</v>
      </c>
      <c r="P63" s="12">
        <v>55</v>
      </c>
      <c r="Q63" s="12">
        <v>55</v>
      </c>
      <c r="R63" s="12">
        <v>26</v>
      </c>
    </row>
    <row r="64" spans="1:18" ht="17" customHeight="1" x14ac:dyDescent="0.2">
      <c r="A64" s="5" t="s">
        <v>321</v>
      </c>
      <c r="B64" s="6" t="s">
        <v>322</v>
      </c>
      <c r="C64" s="5" t="s">
        <v>323</v>
      </c>
      <c r="D64" s="5" t="s">
        <v>323</v>
      </c>
      <c r="E64" s="5" t="s">
        <v>324</v>
      </c>
      <c r="F64" s="5" t="s">
        <v>325</v>
      </c>
      <c r="G64" s="5" t="s">
        <v>326</v>
      </c>
      <c r="H64" s="5" t="s">
        <v>299</v>
      </c>
      <c r="I64" s="5" t="str">
        <f>HYPERLINK("http://www.saferbaby.it/","www.saferbaby.it")</f>
        <v>www.saferbaby.it</v>
      </c>
      <c r="J64" s="7">
        <v>1450.2349999999999</v>
      </c>
      <c r="K64" s="7">
        <v>1450.2349999999999</v>
      </c>
      <c r="L64" s="8">
        <v>1475.951</v>
      </c>
      <c r="M64" s="7">
        <v>22.901</v>
      </c>
      <c r="N64" s="7">
        <v>22.901</v>
      </c>
      <c r="O64" s="7">
        <v>4.0579999999999998</v>
      </c>
      <c r="P64" s="7">
        <v>12</v>
      </c>
      <c r="Q64" s="7">
        <v>12</v>
      </c>
      <c r="R64" s="7">
        <v>11</v>
      </c>
    </row>
    <row r="65" spans="1:18" ht="17" customHeight="1" x14ac:dyDescent="0.2">
      <c r="A65" s="10" t="s">
        <v>327</v>
      </c>
      <c r="B65" s="11" t="s">
        <v>328</v>
      </c>
      <c r="C65" s="10" t="s">
        <v>329</v>
      </c>
      <c r="D65" s="10" t="s">
        <v>329</v>
      </c>
      <c r="E65" s="10" t="s">
        <v>330</v>
      </c>
      <c r="F65" s="10" t="s">
        <v>41</v>
      </c>
      <c r="G65" s="10" t="s">
        <v>49</v>
      </c>
      <c r="H65" s="10" t="s">
        <v>23</v>
      </c>
      <c r="I65" s="10" t="str">
        <f>HYPERLINK("http://buy-conceriamonteverdi.it/","buy-conceriamonteverdi.it")</f>
        <v>buy-conceriamonteverdi.it</v>
      </c>
      <c r="J65" s="12">
        <v>1298.3620000000001</v>
      </c>
      <c r="K65" s="12">
        <v>1168.4870000000001</v>
      </c>
      <c r="L65" s="12">
        <v>1474.932</v>
      </c>
      <c r="M65" s="12">
        <v>1.8120000000000001</v>
      </c>
      <c r="N65" s="12">
        <v>8.7620000000000005</v>
      </c>
      <c r="O65" s="12">
        <v>3.6269999999999998</v>
      </c>
      <c r="P65" s="12">
        <v>5</v>
      </c>
      <c r="Q65" s="12">
        <v>5</v>
      </c>
      <c r="R65" s="12">
        <v>8</v>
      </c>
    </row>
    <row r="66" spans="1:18" ht="17" customHeight="1" x14ac:dyDescent="0.2">
      <c r="A66" s="5" t="s">
        <v>331</v>
      </c>
      <c r="B66" s="6" t="s">
        <v>332</v>
      </c>
      <c r="C66" s="5" t="s">
        <v>333</v>
      </c>
      <c r="D66" s="5" t="s">
        <v>333</v>
      </c>
      <c r="E66" s="5" t="s">
        <v>334</v>
      </c>
      <c r="F66" s="5" t="s">
        <v>114</v>
      </c>
      <c r="G66" s="5" t="s">
        <v>190</v>
      </c>
      <c r="H66" s="5" t="s">
        <v>74</v>
      </c>
      <c r="I66" s="5" t="str">
        <f>HYPERLINK("http://www.pespow.com/","http://www.pespow.com")</f>
        <v>http://www.pespow.com</v>
      </c>
      <c r="J66" s="7">
        <v>1342.152</v>
      </c>
      <c r="K66" s="7">
        <v>1342.152</v>
      </c>
      <c r="L66" s="8">
        <v>1474.4880000000001</v>
      </c>
      <c r="M66" s="7">
        <v>-0.65200000000000002</v>
      </c>
      <c r="N66" s="7">
        <v>-0.65200000000000002</v>
      </c>
      <c r="O66" s="7">
        <v>-264.24400000000003</v>
      </c>
      <c r="P66" s="7">
        <v>4</v>
      </c>
      <c r="Q66" s="7">
        <v>4</v>
      </c>
      <c r="R66" s="7">
        <v>8</v>
      </c>
    </row>
    <row r="67" spans="1:18" ht="17" customHeight="1" x14ac:dyDescent="0.2">
      <c r="A67" s="10" t="s">
        <v>335</v>
      </c>
      <c r="B67" s="11" t="s">
        <v>336</v>
      </c>
      <c r="C67" s="10" t="s">
        <v>337</v>
      </c>
      <c r="D67" s="10" t="s">
        <v>337</v>
      </c>
      <c r="E67" s="10" t="s">
        <v>338</v>
      </c>
      <c r="F67" s="10" t="s">
        <v>325</v>
      </c>
      <c r="G67" s="10" t="s">
        <v>211</v>
      </c>
      <c r="H67" s="10" t="s">
        <v>74</v>
      </c>
      <c r="I67" s="10" t="str">
        <f>HYPERLINK("http://www.foresti-italia.com/","www.foresti-italia.com")</f>
        <v>www.foresti-italia.com</v>
      </c>
      <c r="J67" s="12">
        <v>1477.8040000000001</v>
      </c>
      <c r="K67" s="12">
        <v>1477.8040000000001</v>
      </c>
      <c r="L67" s="12">
        <v>1473.0039999999999</v>
      </c>
      <c r="M67" s="12">
        <v>77.662000000000006</v>
      </c>
      <c r="N67" s="12">
        <v>77.662000000000006</v>
      </c>
      <c r="O67" s="12">
        <v>40.36</v>
      </c>
      <c r="P67" s="12">
        <v>14</v>
      </c>
      <c r="Q67" s="12">
        <v>14</v>
      </c>
      <c r="R67" s="12">
        <v>15</v>
      </c>
    </row>
    <row r="68" spans="1:18" ht="17" customHeight="1" x14ac:dyDescent="0.2">
      <c r="A68" s="5" t="s">
        <v>339</v>
      </c>
      <c r="B68" s="6" t="s">
        <v>340</v>
      </c>
      <c r="C68" s="5" t="s">
        <v>341</v>
      </c>
      <c r="D68" s="5" t="s">
        <v>341</v>
      </c>
      <c r="E68" s="5" t="s">
        <v>342</v>
      </c>
      <c r="F68" s="5" t="s">
        <v>99</v>
      </c>
      <c r="G68" s="5" t="s">
        <v>49</v>
      </c>
      <c r="H68" s="5" t="s">
        <v>23</v>
      </c>
      <c r="I68" s="5" t="str">
        <f>HYPERLINK("http://www.furling.it/","www.furling.it")</f>
        <v>www.furling.it</v>
      </c>
      <c r="J68" s="7">
        <v>1340.4680000000001</v>
      </c>
      <c r="K68" s="7">
        <v>1340.4680000000001</v>
      </c>
      <c r="L68" s="8">
        <v>1467.5820000000001</v>
      </c>
      <c r="M68" s="7">
        <v>25.417000000000002</v>
      </c>
      <c r="N68" s="7">
        <v>25.417000000000002</v>
      </c>
      <c r="O68" s="7">
        <v>64.408000000000001</v>
      </c>
      <c r="P68" s="7">
        <v>8</v>
      </c>
      <c r="Q68" s="7">
        <v>8</v>
      </c>
      <c r="R68" s="7">
        <v>7</v>
      </c>
    </row>
    <row r="69" spans="1:18" ht="17" customHeight="1" x14ac:dyDescent="0.2">
      <c r="A69" s="10" t="s">
        <v>343</v>
      </c>
      <c r="B69" s="11" t="s">
        <v>344</v>
      </c>
      <c r="C69" s="10" t="s">
        <v>345</v>
      </c>
      <c r="D69" s="10" t="s">
        <v>345</v>
      </c>
      <c r="E69" s="10" t="s">
        <v>346</v>
      </c>
      <c r="F69" s="10" t="s">
        <v>149</v>
      </c>
      <c r="G69" s="10" t="s">
        <v>73</v>
      </c>
      <c r="H69" s="10" t="s">
        <v>74</v>
      </c>
      <c r="I69" s="10" t="str">
        <f>HYPERLINK("http://lipedemaitalia.info/","lipedemaitalia.info")</f>
        <v>lipedemaitalia.info</v>
      </c>
      <c r="J69" s="12">
        <v>1578.453</v>
      </c>
      <c r="K69" s="12">
        <v>1578.453</v>
      </c>
      <c r="L69" s="12">
        <v>1466.42</v>
      </c>
      <c r="M69" s="12">
        <v>212.11699999999999</v>
      </c>
      <c r="N69" s="12">
        <v>212.11699999999999</v>
      </c>
      <c r="O69" s="12">
        <v>212.43700000000001</v>
      </c>
      <c r="P69" s="12">
        <v>6</v>
      </c>
      <c r="Q69" s="12">
        <v>6</v>
      </c>
      <c r="R69" s="12">
        <v>9</v>
      </c>
    </row>
    <row r="70" spans="1:18" ht="17" customHeight="1" x14ac:dyDescent="0.2">
      <c r="A70" s="5" t="s">
        <v>347</v>
      </c>
      <c r="B70" s="6" t="s">
        <v>348</v>
      </c>
      <c r="C70" s="5" t="s">
        <v>349</v>
      </c>
      <c r="D70" s="5" t="s">
        <v>349</v>
      </c>
      <c r="E70" s="5" t="s">
        <v>350</v>
      </c>
      <c r="F70" s="5" t="s">
        <v>149</v>
      </c>
      <c r="G70" s="5" t="s">
        <v>36</v>
      </c>
      <c r="H70" s="5" t="s">
        <v>23</v>
      </c>
      <c r="I70" s="5" t="str">
        <f>HYPERLINK("http://www.rgitaly.com/","www.rgitaly.com")</f>
        <v>www.rgitaly.com</v>
      </c>
      <c r="J70" s="7">
        <v>1059.8489999999999</v>
      </c>
      <c r="K70" s="7">
        <v>1059.8489999999999</v>
      </c>
      <c r="L70" s="8">
        <v>1463.165</v>
      </c>
      <c r="M70" s="7">
        <v>-229.09899999999999</v>
      </c>
      <c r="N70" s="7">
        <v>-229.09899999999999</v>
      </c>
      <c r="O70" s="7">
        <v>-150.78299999999999</v>
      </c>
      <c r="P70" s="9" t="s">
        <v>24</v>
      </c>
      <c r="Q70" s="9" t="s">
        <v>24</v>
      </c>
      <c r="R70" s="7">
        <v>12</v>
      </c>
    </row>
    <row r="71" spans="1:18" ht="68" customHeight="1" x14ac:dyDescent="0.2">
      <c r="A71" s="10" t="s">
        <v>351</v>
      </c>
      <c r="B71" s="11" t="s">
        <v>352</v>
      </c>
      <c r="C71" s="10" t="s">
        <v>353</v>
      </c>
      <c r="D71" s="10" t="s">
        <v>353</v>
      </c>
      <c r="E71" s="10" t="s">
        <v>354</v>
      </c>
      <c r="F71" s="10" t="s">
        <v>21</v>
      </c>
      <c r="G71" s="10" t="s">
        <v>79</v>
      </c>
      <c r="H71" s="10" t="s">
        <v>56</v>
      </c>
      <c r="I71" s="10" t="str">
        <f>HYPERLINK("http://www.fessura.com/","www.fessura.com")</f>
        <v>www.fessura.com</v>
      </c>
      <c r="J71" s="12">
        <v>1491.962</v>
      </c>
      <c r="K71" s="12">
        <v>1491.962</v>
      </c>
      <c r="L71" s="12">
        <v>1462.0150000000001</v>
      </c>
      <c r="M71" s="12">
        <v>74.569000000000003</v>
      </c>
      <c r="N71" s="12">
        <v>74.569000000000003</v>
      </c>
      <c r="O71" s="12">
        <v>21.248000000000001</v>
      </c>
      <c r="P71" s="13" t="s">
        <v>24</v>
      </c>
      <c r="Q71" s="13" t="s">
        <v>24</v>
      </c>
      <c r="R71" s="12">
        <v>8</v>
      </c>
    </row>
    <row r="72" spans="1:18" ht="17" customHeight="1" x14ac:dyDescent="0.2">
      <c r="A72" s="5" t="s">
        <v>355</v>
      </c>
      <c r="B72" s="6" t="s">
        <v>356</v>
      </c>
      <c r="C72" s="5" t="s">
        <v>357</v>
      </c>
      <c r="D72" s="5" t="s">
        <v>357</v>
      </c>
      <c r="E72" s="5" t="s">
        <v>358</v>
      </c>
      <c r="F72" s="5" t="s">
        <v>72</v>
      </c>
      <c r="G72" s="5" t="s">
        <v>135</v>
      </c>
      <c r="H72" s="5" t="s">
        <v>31</v>
      </c>
      <c r="I72" s="5" t="str">
        <f>HYPERLINK("http://www.calzedac.com/","www.calzedac.com")</f>
        <v>www.calzedac.com</v>
      </c>
      <c r="J72" s="7">
        <v>1469.93</v>
      </c>
      <c r="K72" s="7">
        <v>1469.93</v>
      </c>
      <c r="L72" s="8">
        <v>1460.575</v>
      </c>
      <c r="M72" s="7">
        <v>62.34</v>
      </c>
      <c r="N72" s="7">
        <v>62.34</v>
      </c>
      <c r="O72" s="7">
        <v>63.622</v>
      </c>
      <c r="P72" s="9" t="s">
        <v>24</v>
      </c>
      <c r="Q72" s="9" t="s">
        <v>24</v>
      </c>
      <c r="R72" s="7">
        <v>20</v>
      </c>
    </row>
    <row r="73" spans="1:18" ht="17" customHeight="1" x14ac:dyDescent="0.2">
      <c r="A73" s="10" t="s">
        <v>359</v>
      </c>
      <c r="B73" s="11" t="s">
        <v>360</v>
      </c>
      <c r="C73" s="10" t="s">
        <v>361</v>
      </c>
      <c r="D73" s="10" t="s">
        <v>361</v>
      </c>
      <c r="E73" s="10" t="s">
        <v>362</v>
      </c>
      <c r="F73" s="10" t="s">
        <v>99</v>
      </c>
      <c r="G73" s="10" t="s">
        <v>253</v>
      </c>
      <c r="H73" s="10" t="s">
        <v>56</v>
      </c>
      <c r="I73" s="10" t="str">
        <f>HYPERLINK("http://marester.com/","marester.com")</f>
        <v>marester.com</v>
      </c>
      <c r="J73" s="12">
        <v>1688.0409999999999</v>
      </c>
      <c r="K73" s="12">
        <v>1688.0409999999999</v>
      </c>
      <c r="L73" s="12">
        <v>1460.153</v>
      </c>
      <c r="M73" s="12">
        <v>49.710999999999999</v>
      </c>
      <c r="N73" s="12">
        <v>49.710999999999999</v>
      </c>
      <c r="O73" s="12">
        <v>26.681000000000001</v>
      </c>
      <c r="P73" s="13" t="s">
        <v>24</v>
      </c>
      <c r="Q73" s="13" t="s">
        <v>24</v>
      </c>
      <c r="R73" s="12">
        <v>28</v>
      </c>
    </row>
    <row r="74" spans="1:18" ht="17" customHeight="1" x14ac:dyDescent="0.2">
      <c r="A74" s="5" t="s">
        <v>363</v>
      </c>
      <c r="B74" s="6" t="s">
        <v>364</v>
      </c>
      <c r="C74" s="5" t="s">
        <v>365</v>
      </c>
      <c r="D74" s="5" t="s">
        <v>365</v>
      </c>
      <c r="E74" s="5" t="s">
        <v>366</v>
      </c>
      <c r="F74" s="5" t="s">
        <v>367</v>
      </c>
      <c r="G74" s="5" t="s">
        <v>190</v>
      </c>
      <c r="H74" s="5" t="s">
        <v>74</v>
      </c>
      <c r="I74" s="5" t="str">
        <f>HYPERLINK("http://www.confezionicappello.com/","www.confezionicappello.com")</f>
        <v>www.confezionicappello.com</v>
      </c>
      <c r="J74" s="7">
        <v>1474.61</v>
      </c>
      <c r="K74" s="7">
        <v>1474.61</v>
      </c>
      <c r="L74" s="8">
        <v>1458.7550000000001</v>
      </c>
      <c r="M74" s="7">
        <v>210.76</v>
      </c>
      <c r="N74" s="7">
        <v>210.76</v>
      </c>
      <c r="O74" s="7">
        <v>127.29</v>
      </c>
      <c r="P74" s="9" t="s">
        <v>24</v>
      </c>
      <c r="Q74" s="9" t="s">
        <v>24</v>
      </c>
      <c r="R74" s="7">
        <v>7</v>
      </c>
    </row>
    <row r="75" spans="1:18" ht="29.5" customHeight="1" x14ac:dyDescent="0.2">
      <c r="A75" s="10" t="s">
        <v>368</v>
      </c>
      <c r="B75" s="11" t="s">
        <v>369</v>
      </c>
      <c r="C75" s="10" t="s">
        <v>370</v>
      </c>
      <c r="D75" s="10" t="s">
        <v>370</v>
      </c>
      <c r="E75" s="10" t="s">
        <v>371</v>
      </c>
      <c r="F75" s="10" t="s">
        <v>41</v>
      </c>
      <c r="G75" s="10" t="s">
        <v>224</v>
      </c>
      <c r="H75" s="10" t="s">
        <v>23</v>
      </c>
      <c r="I75" s="10" t="str">
        <f>HYPERLINK("http://www.stefanellisrl.it/","www.stefanellisrl.it")</f>
        <v>www.stefanellisrl.it</v>
      </c>
      <c r="J75" s="12">
        <v>1173.2940000000001</v>
      </c>
      <c r="K75" s="12">
        <v>1173.2940000000001</v>
      </c>
      <c r="L75" s="12">
        <v>1458.038</v>
      </c>
      <c r="M75" s="12">
        <v>-26.398</v>
      </c>
      <c r="N75" s="12">
        <v>-26.398</v>
      </c>
      <c r="O75" s="12">
        <v>-109.286</v>
      </c>
      <c r="P75" s="12">
        <v>6</v>
      </c>
      <c r="Q75" s="12">
        <v>6</v>
      </c>
      <c r="R75" s="12">
        <v>7</v>
      </c>
    </row>
    <row r="76" spans="1:18" ht="17" customHeight="1" x14ac:dyDescent="0.2">
      <c r="A76" s="5" t="s">
        <v>372</v>
      </c>
      <c r="B76" s="6" t="s">
        <v>373</v>
      </c>
      <c r="C76" s="5" t="s">
        <v>374</v>
      </c>
      <c r="D76" s="5" t="s">
        <v>374</v>
      </c>
      <c r="E76" s="5" t="s">
        <v>375</v>
      </c>
      <c r="F76" s="5" t="s">
        <v>376</v>
      </c>
      <c r="G76" s="5" t="s">
        <v>274</v>
      </c>
      <c r="H76" s="5" t="s">
        <v>31</v>
      </c>
      <c r="I76" s="5" t="str">
        <f>HYPERLINK("http://www.lesoft.it/","www.lesoft.it")</f>
        <v>www.lesoft.it</v>
      </c>
      <c r="J76" s="7">
        <v>1090.5909999999999</v>
      </c>
      <c r="K76" s="7">
        <v>1090.5909999999999</v>
      </c>
      <c r="L76" s="8">
        <v>1457.424</v>
      </c>
      <c r="M76" s="7">
        <v>88.456999999999994</v>
      </c>
      <c r="N76" s="7">
        <v>88.456999999999994</v>
      </c>
      <c r="O76" s="7">
        <v>38.804000000000002</v>
      </c>
      <c r="P76" s="9" t="s">
        <v>24</v>
      </c>
      <c r="Q76" s="9" t="s">
        <v>24</v>
      </c>
      <c r="R76" s="7">
        <v>8</v>
      </c>
    </row>
    <row r="77" spans="1:18" ht="17" customHeight="1" x14ac:dyDescent="0.2">
      <c r="A77" s="10" t="s">
        <v>377</v>
      </c>
      <c r="B77" s="11" t="s">
        <v>378</v>
      </c>
      <c r="C77" s="10" t="s">
        <v>379</v>
      </c>
      <c r="D77" s="10" t="s">
        <v>379</v>
      </c>
      <c r="E77" s="10" t="s">
        <v>380</v>
      </c>
      <c r="F77" s="10" t="s">
        <v>114</v>
      </c>
      <c r="G77" s="10" t="s">
        <v>381</v>
      </c>
      <c r="H77" s="10" t="s">
        <v>23</v>
      </c>
      <c r="I77" s="10" t="str">
        <f>HYPERLINK("http://www.rocchinicerimonia.it/","www.rocchinicerimonia.it")</f>
        <v>www.rocchinicerimonia.it</v>
      </c>
      <c r="J77" s="12">
        <v>1531.153</v>
      </c>
      <c r="K77" s="12">
        <v>1531.153</v>
      </c>
      <c r="L77" s="12">
        <v>1457.0350000000001</v>
      </c>
      <c r="M77" s="12">
        <v>10.798999999999999</v>
      </c>
      <c r="N77" s="12">
        <v>10.798999999999999</v>
      </c>
      <c r="O77" s="12">
        <v>7.6420000000000003</v>
      </c>
      <c r="P77" s="12">
        <v>4</v>
      </c>
      <c r="Q77" s="12">
        <v>4</v>
      </c>
      <c r="R77" s="12">
        <v>2</v>
      </c>
    </row>
    <row r="78" spans="1:18" ht="17" customHeight="1" x14ac:dyDescent="0.2">
      <c r="A78" s="5" t="s">
        <v>382</v>
      </c>
      <c r="B78" s="6" t="s">
        <v>383</v>
      </c>
      <c r="C78" s="5" t="s">
        <v>384</v>
      </c>
      <c r="D78" s="5" t="s">
        <v>384</v>
      </c>
      <c r="E78" s="5" t="s">
        <v>385</v>
      </c>
      <c r="F78" s="5" t="s">
        <v>114</v>
      </c>
      <c r="G78" s="5" t="s">
        <v>298</v>
      </c>
      <c r="H78" s="5" t="s">
        <v>299</v>
      </c>
      <c r="I78" s="5" t="str">
        <f>HYPERLINK("http://www.gilsrl.it/","www.gilsrl.it")</f>
        <v>www.gilsrl.it</v>
      </c>
      <c r="J78" s="7">
        <v>1751.9839999999999</v>
      </c>
      <c r="K78" s="7">
        <v>1751.9839999999999</v>
      </c>
      <c r="L78" s="8">
        <v>1450.8019999999999</v>
      </c>
      <c r="M78" s="7">
        <v>13.079000000000001</v>
      </c>
      <c r="N78" s="7">
        <v>13.079000000000001</v>
      </c>
      <c r="O78" s="7">
        <v>6.9870000000000001</v>
      </c>
      <c r="P78" s="7">
        <v>6</v>
      </c>
      <c r="Q78" s="7">
        <v>6</v>
      </c>
      <c r="R78" s="7">
        <v>6</v>
      </c>
    </row>
    <row r="79" spans="1:18" ht="17" customHeight="1" x14ac:dyDescent="0.2">
      <c r="A79" s="10" t="s">
        <v>386</v>
      </c>
      <c r="B79" s="11" t="s">
        <v>387</v>
      </c>
      <c r="C79" s="10" t="s">
        <v>388</v>
      </c>
      <c r="D79" s="10" t="s">
        <v>388</v>
      </c>
      <c r="E79" s="10" t="s">
        <v>389</v>
      </c>
      <c r="F79" s="10" t="s">
        <v>181</v>
      </c>
      <c r="G79" s="10" t="s">
        <v>158</v>
      </c>
      <c r="H79" s="10" t="s">
        <v>159</v>
      </c>
      <c r="I79" s="10" t="str">
        <f>HYPERLINK("http://maglierieluis.com/","maglierieluis.com")</f>
        <v>maglierieluis.com</v>
      </c>
      <c r="J79" s="12">
        <v>1037.412</v>
      </c>
      <c r="K79" s="12">
        <v>1037.412</v>
      </c>
      <c r="L79" s="12">
        <v>1448.117</v>
      </c>
      <c r="M79" s="12">
        <v>48.122</v>
      </c>
      <c r="N79" s="12">
        <v>48.122</v>
      </c>
      <c r="O79" s="12">
        <v>-429.786</v>
      </c>
      <c r="P79" s="12">
        <v>2</v>
      </c>
      <c r="Q79" s="12">
        <v>2</v>
      </c>
      <c r="R79" s="12">
        <v>8</v>
      </c>
    </row>
    <row r="80" spans="1:18" ht="17" customHeight="1" x14ac:dyDescent="0.2">
      <c r="A80" s="5" t="s">
        <v>390</v>
      </c>
      <c r="B80" s="6" t="s">
        <v>391</v>
      </c>
      <c r="C80" s="5" t="s">
        <v>392</v>
      </c>
      <c r="D80" s="5" t="s">
        <v>392</v>
      </c>
      <c r="E80" s="5" t="s">
        <v>393</v>
      </c>
      <c r="F80" s="5" t="s">
        <v>181</v>
      </c>
      <c r="G80" s="5" t="s">
        <v>298</v>
      </c>
      <c r="H80" s="5" t="s">
        <v>299</v>
      </c>
      <c r="I80" s="5" t="str">
        <f>HYPERLINK("http://www.maglificiolsm.com/","www.maglificiolsm.com")</f>
        <v>www.maglificiolsm.com</v>
      </c>
      <c r="J80" s="7">
        <v>1488.4179999999999</v>
      </c>
      <c r="K80" s="7">
        <v>1488.4179999999999</v>
      </c>
      <c r="L80" s="8">
        <v>1446.336</v>
      </c>
      <c r="M80" s="7">
        <v>101.48699999999999</v>
      </c>
      <c r="N80" s="7">
        <v>101.48699999999999</v>
      </c>
      <c r="O80" s="7">
        <v>141.441</v>
      </c>
      <c r="P80" s="7">
        <v>5</v>
      </c>
      <c r="Q80" s="7">
        <v>5</v>
      </c>
      <c r="R80" s="7">
        <v>5</v>
      </c>
    </row>
    <row r="81" spans="1:18" ht="17" customHeight="1" x14ac:dyDescent="0.2">
      <c r="A81" s="10" t="s">
        <v>394</v>
      </c>
      <c r="B81" s="11" t="s">
        <v>395</v>
      </c>
      <c r="C81" s="10" t="s">
        <v>396</v>
      </c>
      <c r="D81" s="10" t="s">
        <v>396</v>
      </c>
      <c r="E81" s="10" t="s">
        <v>397</v>
      </c>
      <c r="F81" s="10" t="s">
        <v>99</v>
      </c>
      <c r="G81" s="10" t="s">
        <v>158</v>
      </c>
      <c r="H81" s="10" t="s">
        <v>159</v>
      </c>
      <c r="I81" s="10" t="str">
        <f>HYPERLINK("http://www.arkiviomoda.it/","www.arkiviomoda.it")</f>
        <v>www.arkiviomoda.it</v>
      </c>
      <c r="J81" s="12">
        <v>1012.005</v>
      </c>
      <c r="K81" s="12">
        <v>1518.6010000000001</v>
      </c>
      <c r="L81" s="12">
        <v>1445.8209999999999</v>
      </c>
      <c r="M81" s="12">
        <v>-301.95299999999997</v>
      </c>
      <c r="N81" s="12">
        <v>26.023</v>
      </c>
      <c r="O81" s="12">
        <v>-127.224</v>
      </c>
      <c r="P81" s="13" t="s">
        <v>24</v>
      </c>
      <c r="Q81" s="13" t="s">
        <v>24</v>
      </c>
      <c r="R81" s="12">
        <v>10</v>
      </c>
    </row>
    <row r="82" spans="1:18" ht="29.5" customHeight="1" x14ac:dyDescent="0.2">
      <c r="A82" s="5" t="s">
        <v>398</v>
      </c>
      <c r="B82" s="6" t="s">
        <v>399</v>
      </c>
      <c r="C82" s="5" t="s">
        <v>400</v>
      </c>
      <c r="D82" s="5" t="s">
        <v>400</v>
      </c>
      <c r="E82" s="5" t="s">
        <v>401</v>
      </c>
      <c r="F82" s="5" t="s">
        <v>21</v>
      </c>
      <c r="G82" s="5" t="s">
        <v>89</v>
      </c>
      <c r="H82" s="5" t="s">
        <v>56</v>
      </c>
      <c r="I82" s="5" t="str">
        <f>HYPERLINK("http://www.mariodoria.it/","www.mariodoria.it")</f>
        <v>www.mariodoria.it</v>
      </c>
      <c r="J82" s="7">
        <v>1866.3869999999999</v>
      </c>
      <c r="K82" s="7">
        <v>1866.3869999999999</v>
      </c>
      <c r="L82" s="8">
        <v>1445.61</v>
      </c>
      <c r="M82" s="7">
        <v>12.417999999999999</v>
      </c>
      <c r="N82" s="7">
        <v>12.417999999999999</v>
      </c>
      <c r="O82" s="7">
        <v>45.23</v>
      </c>
      <c r="P82" s="7">
        <v>8</v>
      </c>
      <c r="Q82" s="7">
        <v>8</v>
      </c>
      <c r="R82" s="7">
        <v>8</v>
      </c>
    </row>
    <row r="83" spans="1:18" ht="17" customHeight="1" x14ac:dyDescent="0.2">
      <c r="A83" s="10" t="s">
        <v>402</v>
      </c>
      <c r="B83" s="11" t="s">
        <v>403</v>
      </c>
      <c r="C83" s="10" t="s">
        <v>404</v>
      </c>
      <c r="D83" s="10" t="s">
        <v>404</v>
      </c>
      <c r="E83" s="10" t="s">
        <v>405</v>
      </c>
      <c r="F83" s="10" t="s">
        <v>105</v>
      </c>
      <c r="G83" s="10" t="s">
        <v>406</v>
      </c>
      <c r="H83" s="10" t="s">
        <v>407</v>
      </c>
      <c r="I83" s="10" t="str">
        <f>HYPERLINK("http://www.piccolaludo.it/","www.piccolaludo.it")</f>
        <v>www.piccolaludo.it</v>
      </c>
      <c r="J83" s="12">
        <v>1946.854</v>
      </c>
      <c r="K83" s="12">
        <v>1946.854</v>
      </c>
      <c r="L83" s="12">
        <v>1445.2</v>
      </c>
      <c r="M83" s="12">
        <v>256.04399999999998</v>
      </c>
      <c r="N83" s="12">
        <v>256.04399999999998</v>
      </c>
      <c r="O83" s="12">
        <v>3.5329999999999999</v>
      </c>
      <c r="P83" s="13" t="s">
        <v>24</v>
      </c>
      <c r="Q83" s="13" t="s">
        <v>24</v>
      </c>
      <c r="R83" s="12">
        <v>9</v>
      </c>
    </row>
    <row r="84" spans="1:18" ht="17" customHeight="1" x14ac:dyDescent="0.2">
      <c r="A84" s="5" t="s">
        <v>408</v>
      </c>
      <c r="B84" s="6" t="s">
        <v>409</v>
      </c>
      <c r="C84" s="5" t="s">
        <v>410</v>
      </c>
      <c r="D84" s="5" t="s">
        <v>410</v>
      </c>
      <c r="E84" s="5" t="s">
        <v>411</v>
      </c>
      <c r="F84" s="5" t="s">
        <v>105</v>
      </c>
      <c r="G84" s="5" t="s">
        <v>100</v>
      </c>
      <c r="H84" s="5" t="s">
        <v>62</v>
      </c>
      <c r="I84" s="5" t="str">
        <f>HYPERLINK("http://www.lgfoderami.it/","www.lgfoderami.it")</f>
        <v>www.lgfoderami.it</v>
      </c>
      <c r="J84" s="7">
        <v>1352.1969999999999</v>
      </c>
      <c r="K84" s="7">
        <v>1352.1969999999999</v>
      </c>
      <c r="L84" s="8">
        <v>1444.152</v>
      </c>
      <c r="M84" s="7">
        <v>25.140999999999998</v>
      </c>
      <c r="N84" s="7">
        <v>25.140999999999998</v>
      </c>
      <c r="O84" s="7">
        <v>16.879000000000001</v>
      </c>
      <c r="P84" s="7">
        <v>4</v>
      </c>
      <c r="Q84" s="7">
        <v>4</v>
      </c>
      <c r="R84" s="7">
        <v>3</v>
      </c>
    </row>
    <row r="85" spans="1:18" ht="17" customHeight="1" x14ac:dyDescent="0.2">
      <c r="A85" s="10" t="s">
        <v>412</v>
      </c>
      <c r="B85" s="11" t="s">
        <v>413</v>
      </c>
      <c r="C85" s="10" t="s">
        <v>414</v>
      </c>
      <c r="D85" s="10" t="s">
        <v>414</v>
      </c>
      <c r="E85" s="10" t="s">
        <v>415</v>
      </c>
      <c r="F85" s="10" t="s">
        <v>48</v>
      </c>
      <c r="G85" s="10" t="s">
        <v>416</v>
      </c>
      <c r="H85" s="10" t="s">
        <v>121</v>
      </c>
      <c r="I85" s="10" t="str">
        <f>HYPERLINK("http://www.gastaldiautomotive.com/","www.gastaldiautomotive.com")</f>
        <v>www.gastaldiautomotive.com</v>
      </c>
      <c r="J85" s="12">
        <v>1425.452</v>
      </c>
      <c r="K85" s="12">
        <v>1425.452</v>
      </c>
      <c r="L85" s="12">
        <v>1443.4179999999999</v>
      </c>
      <c r="M85" s="12">
        <v>35.771999999999998</v>
      </c>
      <c r="N85" s="12">
        <v>35.771999999999998</v>
      </c>
      <c r="O85" s="12">
        <v>89.611999999999995</v>
      </c>
      <c r="P85" s="12">
        <v>13</v>
      </c>
      <c r="Q85" s="12">
        <v>13</v>
      </c>
      <c r="R85" s="12">
        <v>13</v>
      </c>
    </row>
    <row r="86" spans="1:18" ht="17" customHeight="1" x14ac:dyDescent="0.2">
      <c r="A86" s="5" t="s">
        <v>417</v>
      </c>
      <c r="B86" s="6" t="s">
        <v>418</v>
      </c>
      <c r="C86" s="5" t="s">
        <v>419</v>
      </c>
      <c r="D86" s="5" t="s">
        <v>419</v>
      </c>
      <c r="E86" s="5" t="s">
        <v>420</v>
      </c>
      <c r="F86" s="5" t="s">
        <v>54</v>
      </c>
      <c r="G86" s="5" t="s">
        <v>79</v>
      </c>
      <c r="H86" s="5" t="s">
        <v>56</v>
      </c>
      <c r="I86" s="5" t="str">
        <f>HYPERLINK("http://www.tomaificiosl.com/","www.tomaificiosl.com")</f>
        <v>www.tomaificiosl.com</v>
      </c>
      <c r="J86" s="7">
        <v>1084.5150000000001</v>
      </c>
      <c r="K86" s="7">
        <v>1084.5150000000001</v>
      </c>
      <c r="L86" s="8">
        <v>1440.809</v>
      </c>
      <c r="M86" s="7">
        <v>31.582999999999998</v>
      </c>
      <c r="N86" s="7">
        <v>31.582999999999998</v>
      </c>
      <c r="O86" s="7">
        <v>17.484000000000002</v>
      </c>
      <c r="P86" s="7">
        <v>13</v>
      </c>
      <c r="Q86" s="7">
        <v>13</v>
      </c>
      <c r="R86" s="7">
        <v>17</v>
      </c>
    </row>
    <row r="87" spans="1:18" ht="17" customHeight="1" x14ac:dyDescent="0.2">
      <c r="A87" s="10" t="s">
        <v>421</v>
      </c>
      <c r="B87" s="11" t="s">
        <v>422</v>
      </c>
      <c r="C87" s="10" t="s">
        <v>423</v>
      </c>
      <c r="D87" s="10" t="s">
        <v>423</v>
      </c>
      <c r="E87" s="10" t="s">
        <v>424</v>
      </c>
      <c r="F87" s="10" t="s">
        <v>48</v>
      </c>
      <c r="G87" s="10" t="s">
        <v>49</v>
      </c>
      <c r="H87" s="10" t="s">
        <v>23</v>
      </c>
      <c r="I87" s="10" t="str">
        <f>HYPERLINK("http://www.viamailbag.it/","www.viamailbag.it")</f>
        <v>www.viamailbag.it</v>
      </c>
      <c r="J87" s="12">
        <v>1341.3679999999999</v>
      </c>
      <c r="K87" s="12">
        <v>1341.3679999999999</v>
      </c>
      <c r="L87" s="12">
        <v>1439.482</v>
      </c>
      <c r="M87" s="12">
        <v>148.58699999999999</v>
      </c>
      <c r="N87" s="12">
        <v>148.58699999999999</v>
      </c>
      <c r="O87" s="12">
        <v>138.07</v>
      </c>
      <c r="P87" s="12">
        <v>4</v>
      </c>
      <c r="Q87" s="12">
        <v>4</v>
      </c>
      <c r="R87" s="12">
        <v>4</v>
      </c>
    </row>
    <row r="88" spans="1:18" ht="17" customHeight="1" x14ac:dyDescent="0.2">
      <c r="A88" s="5" t="s">
        <v>425</v>
      </c>
      <c r="B88" s="6" t="s">
        <v>426</v>
      </c>
      <c r="C88" s="5" t="s">
        <v>427</v>
      </c>
      <c r="D88" s="5" t="s">
        <v>427</v>
      </c>
      <c r="E88" s="5" t="s">
        <v>428</v>
      </c>
      <c r="F88" s="5" t="s">
        <v>134</v>
      </c>
      <c r="G88" s="5" t="s">
        <v>190</v>
      </c>
      <c r="H88" s="5" t="s">
        <v>74</v>
      </c>
      <c r="I88" s="5" t="str">
        <f>HYPERLINK("http://www.toispose.com/","www.toispose.com")</f>
        <v>www.toispose.com</v>
      </c>
      <c r="J88" s="7">
        <v>763.62099999999998</v>
      </c>
      <c r="K88" s="7">
        <v>763.62099999999998</v>
      </c>
      <c r="L88" s="8">
        <v>1439.4179999999999</v>
      </c>
      <c r="M88" s="7">
        <v>14.646000000000001</v>
      </c>
      <c r="N88" s="7">
        <v>14.646000000000001</v>
      </c>
      <c r="O88" s="7">
        <v>13.484999999999999</v>
      </c>
      <c r="P88" s="7">
        <v>4</v>
      </c>
      <c r="Q88" s="7">
        <v>4</v>
      </c>
      <c r="R88" s="7">
        <v>4</v>
      </c>
    </row>
    <row r="89" spans="1:18" ht="29.5" customHeight="1" x14ac:dyDescent="0.2">
      <c r="A89" s="10" t="s">
        <v>429</v>
      </c>
      <c r="B89" s="11" t="s">
        <v>430</v>
      </c>
      <c r="C89" s="10" t="s">
        <v>431</v>
      </c>
      <c r="D89" s="10" t="s">
        <v>431</v>
      </c>
      <c r="E89" s="10" t="s">
        <v>432</v>
      </c>
      <c r="F89" s="10" t="s">
        <v>48</v>
      </c>
      <c r="G89" s="10" t="s">
        <v>67</v>
      </c>
      <c r="H89" s="10" t="s">
        <v>43</v>
      </c>
      <c r="I89" s="10" t="str">
        <f>HYPERLINK("http://www.ablshop.it/","www.ablshop.it")</f>
        <v>www.ablshop.it</v>
      </c>
      <c r="J89" s="12">
        <v>8205.5949999999993</v>
      </c>
      <c r="K89" s="12">
        <v>8205.5949999999993</v>
      </c>
      <c r="L89" s="12">
        <v>1438.9929999999999</v>
      </c>
      <c r="M89" s="12">
        <v>176.06100000000001</v>
      </c>
      <c r="N89" s="12">
        <v>176.06100000000001</v>
      </c>
      <c r="O89" s="12">
        <v>-885.17399999999998</v>
      </c>
      <c r="P89" s="12">
        <v>28</v>
      </c>
      <c r="Q89" s="12">
        <v>28</v>
      </c>
      <c r="R89" s="12">
        <v>26</v>
      </c>
    </row>
    <row r="90" spans="1:18" ht="17" customHeight="1" x14ac:dyDescent="0.2">
      <c r="A90" s="5" t="s">
        <v>433</v>
      </c>
      <c r="B90" s="6" t="s">
        <v>434</v>
      </c>
      <c r="C90" s="5" t="s">
        <v>435</v>
      </c>
      <c r="D90" s="5" t="s">
        <v>435</v>
      </c>
      <c r="E90" s="5" t="s">
        <v>436</v>
      </c>
      <c r="F90" s="5" t="s">
        <v>29</v>
      </c>
      <c r="G90" s="5" t="s">
        <v>437</v>
      </c>
      <c r="H90" s="5" t="s">
        <v>407</v>
      </c>
      <c r="I90" s="5" t="str">
        <f>HYPERLINK("http://www.biancooro.com/","www.biancooro.com")</f>
        <v>www.biancooro.com</v>
      </c>
      <c r="J90" s="7">
        <v>2536.386</v>
      </c>
      <c r="K90" s="7">
        <v>2536.386</v>
      </c>
      <c r="L90" s="8">
        <v>1437.356</v>
      </c>
      <c r="M90" s="7">
        <v>5.5880000000000001</v>
      </c>
      <c r="N90" s="7">
        <v>5.5880000000000001</v>
      </c>
      <c r="O90" s="7">
        <v>11.183999999999999</v>
      </c>
      <c r="P90" s="7">
        <v>5</v>
      </c>
      <c r="Q90" s="7">
        <v>5</v>
      </c>
      <c r="R90" s="7">
        <v>5</v>
      </c>
    </row>
    <row r="91" spans="1:18" ht="29.5" customHeight="1" x14ac:dyDescent="0.2">
      <c r="A91" s="10" t="s">
        <v>438</v>
      </c>
      <c r="B91" s="11" t="s">
        <v>439</v>
      </c>
      <c r="C91" s="10" t="s">
        <v>440</v>
      </c>
      <c r="D91" s="10" t="s">
        <v>440</v>
      </c>
      <c r="E91" s="10" t="s">
        <v>441</v>
      </c>
      <c r="F91" s="10" t="s">
        <v>29</v>
      </c>
      <c r="G91" s="10" t="s">
        <v>49</v>
      </c>
      <c r="H91" s="10" t="s">
        <v>23</v>
      </c>
      <c r="I91" s="10" t="str">
        <f>HYPERLINK("http://www.intimare.it/","http://www.intimare.it")</f>
        <v>http://www.intimare.it</v>
      </c>
      <c r="J91" s="12">
        <v>1205.3140000000001</v>
      </c>
      <c r="K91" s="12">
        <v>1205.3140000000001</v>
      </c>
      <c r="L91" s="12">
        <v>1436.058</v>
      </c>
      <c r="M91" s="12">
        <v>11.792</v>
      </c>
      <c r="N91" s="12">
        <v>11.792</v>
      </c>
      <c r="O91" s="12">
        <v>41.179000000000002</v>
      </c>
      <c r="P91" s="12">
        <v>21</v>
      </c>
      <c r="Q91" s="12">
        <v>21</v>
      </c>
      <c r="R91" s="12">
        <v>19</v>
      </c>
    </row>
    <row r="92" spans="1:18" ht="43" customHeight="1" x14ac:dyDescent="0.2">
      <c r="A92" s="5" t="s">
        <v>442</v>
      </c>
      <c r="B92" s="6" t="s">
        <v>443</v>
      </c>
      <c r="C92" s="5" t="s">
        <v>444</v>
      </c>
      <c r="D92" s="5" t="s">
        <v>444</v>
      </c>
      <c r="E92" s="5" t="s">
        <v>445</v>
      </c>
      <c r="F92" s="5" t="s">
        <v>105</v>
      </c>
      <c r="G92" s="5" t="s">
        <v>437</v>
      </c>
      <c r="H92" s="5" t="s">
        <v>407</v>
      </c>
      <c r="I92" s="5" t="str">
        <f>HYPERLINK("http://www.stirerialuna.it/","www.stirerialuna.it")</f>
        <v>www.stirerialuna.it</v>
      </c>
      <c r="J92" s="7">
        <v>1443.4369999999999</v>
      </c>
      <c r="K92" s="7">
        <v>1443.4369999999999</v>
      </c>
      <c r="L92" s="8">
        <v>1434.5060000000001</v>
      </c>
      <c r="M92" s="7">
        <v>27.199000000000002</v>
      </c>
      <c r="N92" s="7">
        <v>27.199000000000002</v>
      </c>
      <c r="O92" s="7">
        <v>25.521999999999998</v>
      </c>
      <c r="P92" s="7">
        <v>41</v>
      </c>
      <c r="Q92" s="7">
        <v>41</v>
      </c>
      <c r="R92" s="7">
        <v>43</v>
      </c>
    </row>
    <row r="93" spans="1:18" ht="17" customHeight="1" x14ac:dyDescent="0.2">
      <c r="A93" s="10" t="s">
        <v>446</v>
      </c>
      <c r="B93" s="11" t="s">
        <v>447</v>
      </c>
      <c r="C93" s="10" t="s">
        <v>448</v>
      </c>
      <c r="D93" s="10" t="s">
        <v>448</v>
      </c>
      <c r="E93" s="10" t="s">
        <v>449</v>
      </c>
      <c r="F93" s="10" t="s">
        <v>134</v>
      </c>
      <c r="G93" s="10" t="s">
        <v>135</v>
      </c>
      <c r="H93" s="10" t="s">
        <v>31</v>
      </c>
      <c r="I93" s="10" t="str">
        <f>HYPERLINK("http://www.emmecitex.it/","www.emmecitex.it")</f>
        <v>www.emmecitex.it</v>
      </c>
      <c r="J93" s="12">
        <v>1147.287</v>
      </c>
      <c r="K93" s="12">
        <v>1147.287</v>
      </c>
      <c r="L93" s="12">
        <v>1432.479</v>
      </c>
      <c r="M93" s="12">
        <v>5.5119999999999996</v>
      </c>
      <c r="N93" s="12">
        <v>5.5119999999999996</v>
      </c>
      <c r="O93" s="12">
        <v>20.468</v>
      </c>
      <c r="P93" s="12">
        <v>31</v>
      </c>
      <c r="Q93" s="12">
        <v>31</v>
      </c>
      <c r="R93" s="12">
        <v>32</v>
      </c>
    </row>
    <row r="94" spans="1:18" ht="17" customHeight="1" x14ac:dyDescent="0.2">
      <c r="A94" s="5" t="s">
        <v>450</v>
      </c>
      <c r="B94" s="6" t="s">
        <v>451</v>
      </c>
      <c r="C94" s="5" t="s">
        <v>452</v>
      </c>
      <c r="D94" s="5" t="s">
        <v>452</v>
      </c>
      <c r="E94" s="5" t="s">
        <v>453</v>
      </c>
      <c r="F94" s="5" t="s">
        <v>105</v>
      </c>
      <c r="G94" s="5" t="s">
        <v>100</v>
      </c>
      <c r="H94" s="5" t="s">
        <v>62</v>
      </c>
      <c r="I94" s="5" t="str">
        <f>HYPERLINK("http://www.produzionebicchierimonouso.com/","www.produzionebicchierimonouso.com")</f>
        <v>www.produzionebicchierimonouso.com</v>
      </c>
      <c r="J94" s="7">
        <v>1128.114</v>
      </c>
      <c r="K94" s="7">
        <v>1128.114</v>
      </c>
      <c r="L94" s="8">
        <v>1431.663</v>
      </c>
      <c r="M94" s="7">
        <v>8.3149999999999995</v>
      </c>
      <c r="N94" s="7">
        <v>8.3149999999999995</v>
      </c>
      <c r="O94" s="7">
        <v>-12.622999999999999</v>
      </c>
      <c r="P94" s="7">
        <v>9</v>
      </c>
      <c r="Q94" s="7">
        <v>9</v>
      </c>
      <c r="R94" s="7">
        <v>10</v>
      </c>
    </row>
    <row r="95" spans="1:18" ht="17" customHeight="1" x14ac:dyDescent="0.2">
      <c r="A95" s="10" t="s">
        <v>454</v>
      </c>
      <c r="B95" s="11" t="s">
        <v>455</v>
      </c>
      <c r="C95" s="10" t="s">
        <v>456</v>
      </c>
      <c r="D95" s="10" t="s">
        <v>456</v>
      </c>
      <c r="E95" s="10" t="s">
        <v>457</v>
      </c>
      <c r="F95" s="10" t="s">
        <v>181</v>
      </c>
      <c r="G95" s="10" t="s">
        <v>234</v>
      </c>
      <c r="H95" s="10" t="s">
        <v>23</v>
      </c>
      <c r="I95" s="10" t="str">
        <f>HYPERLINK("http://www.maglificiogrp.com/","www.maglificiogrp.com")</f>
        <v>www.maglificiogrp.com</v>
      </c>
      <c r="J95" s="12">
        <v>1780.181</v>
      </c>
      <c r="K95" s="12">
        <v>1780.181</v>
      </c>
      <c r="L95" s="12">
        <v>1431.1759999999999</v>
      </c>
      <c r="M95" s="12">
        <v>2.214</v>
      </c>
      <c r="N95" s="12">
        <v>2.214</v>
      </c>
      <c r="O95" s="12">
        <v>2.1579999999999999</v>
      </c>
      <c r="P95" s="12">
        <v>10</v>
      </c>
      <c r="Q95" s="12">
        <v>10</v>
      </c>
      <c r="R95" s="12">
        <v>8</v>
      </c>
    </row>
    <row r="96" spans="1:18" ht="17" customHeight="1" x14ac:dyDescent="0.2">
      <c r="A96" s="5" t="s">
        <v>458</v>
      </c>
      <c r="B96" s="6" t="s">
        <v>459</v>
      </c>
      <c r="C96" s="5" t="s">
        <v>460</v>
      </c>
      <c r="D96" s="5" t="s">
        <v>460</v>
      </c>
      <c r="E96" s="5" t="s">
        <v>461</v>
      </c>
      <c r="F96" s="5" t="s">
        <v>462</v>
      </c>
      <c r="G96" s="5" t="s">
        <v>463</v>
      </c>
      <c r="H96" s="5" t="s">
        <v>31</v>
      </c>
      <c r="I96" s="5" t="str">
        <f>HYPERLINK("http://www.andreabossi.com/","www.andreabossi.com")</f>
        <v>www.andreabossi.com</v>
      </c>
      <c r="J96" s="7">
        <v>1378.17</v>
      </c>
      <c r="K96" s="7">
        <v>1378.17</v>
      </c>
      <c r="L96" s="8">
        <v>1429.7750000000001</v>
      </c>
      <c r="M96" s="7">
        <v>63.552</v>
      </c>
      <c r="N96" s="7">
        <v>63.552</v>
      </c>
      <c r="O96" s="7">
        <v>64.183000000000007</v>
      </c>
      <c r="P96" s="9" t="s">
        <v>24</v>
      </c>
      <c r="Q96" s="9" t="s">
        <v>24</v>
      </c>
      <c r="R96" s="7">
        <v>6</v>
      </c>
    </row>
    <row r="97" spans="1:18" ht="17" customHeight="1" x14ac:dyDescent="0.2">
      <c r="A97" s="10" t="s">
        <v>464</v>
      </c>
      <c r="B97" s="11" t="s">
        <v>465</v>
      </c>
      <c r="C97" s="10" t="s">
        <v>466</v>
      </c>
      <c r="D97" s="10" t="s">
        <v>466</v>
      </c>
      <c r="E97" s="10" t="s">
        <v>467</v>
      </c>
      <c r="F97" s="10" t="s">
        <v>105</v>
      </c>
      <c r="G97" s="10" t="s">
        <v>79</v>
      </c>
      <c r="H97" s="10" t="s">
        <v>56</v>
      </c>
      <c r="I97" s="10" t="str">
        <f>HYPERLINK("http://www.calimar.it/","www.calimar.it")</f>
        <v>www.calimar.it</v>
      </c>
      <c r="J97" s="12">
        <v>1195.789</v>
      </c>
      <c r="K97" s="12">
        <v>1195.789</v>
      </c>
      <c r="L97" s="12">
        <v>1428.9839999999999</v>
      </c>
      <c r="M97" s="12">
        <v>6.7560000000000002</v>
      </c>
      <c r="N97" s="12">
        <v>6.7560000000000002</v>
      </c>
      <c r="O97" s="12">
        <v>42.932000000000002</v>
      </c>
      <c r="P97" s="12">
        <v>13</v>
      </c>
      <c r="Q97" s="12">
        <v>13</v>
      </c>
      <c r="R97" s="12">
        <v>13</v>
      </c>
    </row>
    <row r="98" spans="1:18" ht="55.75" customHeight="1" x14ac:dyDescent="0.2">
      <c r="A98" s="5" t="s">
        <v>468</v>
      </c>
      <c r="B98" s="6" t="s">
        <v>469</v>
      </c>
      <c r="C98" s="5" t="s">
        <v>470</v>
      </c>
      <c r="D98" s="5" t="s">
        <v>470</v>
      </c>
      <c r="E98" s="5" t="s">
        <v>471</v>
      </c>
      <c r="F98" s="5" t="s">
        <v>48</v>
      </c>
      <c r="G98" s="5" t="s">
        <v>79</v>
      </c>
      <c r="H98" s="5" t="s">
        <v>56</v>
      </c>
      <c r="I98" s="5" t="str">
        <f>HYPERLINK("http://www.gironacci.it/","www.gironacci.it")</f>
        <v>www.gironacci.it</v>
      </c>
      <c r="J98" s="7">
        <v>2069.4319999999998</v>
      </c>
      <c r="K98" s="7">
        <v>2069.4319999999998</v>
      </c>
      <c r="L98" s="8">
        <v>1427.4870000000001</v>
      </c>
      <c r="M98" s="7">
        <v>18.782</v>
      </c>
      <c r="N98" s="7">
        <v>18.782</v>
      </c>
      <c r="O98" s="7">
        <v>10.736000000000001</v>
      </c>
      <c r="P98" s="7">
        <v>8</v>
      </c>
      <c r="Q98" s="7">
        <v>8</v>
      </c>
      <c r="R98" s="7">
        <v>7</v>
      </c>
    </row>
    <row r="99" spans="1:18" ht="29.5" customHeight="1" x14ac:dyDescent="0.2">
      <c r="A99" s="10" t="s">
        <v>472</v>
      </c>
      <c r="B99" s="11" t="s">
        <v>473</v>
      </c>
      <c r="C99" s="10" t="s">
        <v>474</v>
      </c>
      <c r="D99" s="10" t="s">
        <v>474</v>
      </c>
      <c r="E99" s="10" t="s">
        <v>475</v>
      </c>
      <c r="F99" s="10" t="s">
        <v>29</v>
      </c>
      <c r="G99" s="10" t="s">
        <v>476</v>
      </c>
      <c r="H99" s="10" t="s">
        <v>477</v>
      </c>
      <c r="I99" s="10" t="str">
        <f>HYPERLINK("http://comodato-studioinformatica.passweb.it/","comodato-studioinformatica.passweb.it")</f>
        <v>comodato-studioinformatica.passweb.it</v>
      </c>
      <c r="J99" s="12">
        <v>1492.1130000000001</v>
      </c>
      <c r="K99" s="12">
        <v>1492.1130000000001</v>
      </c>
      <c r="L99" s="12">
        <v>1425.83</v>
      </c>
      <c r="M99" s="12">
        <v>81.227999999999994</v>
      </c>
      <c r="N99" s="12">
        <v>81.227999999999994</v>
      </c>
      <c r="O99" s="12">
        <v>64.034000000000006</v>
      </c>
      <c r="P99" s="13" t="s">
        <v>24</v>
      </c>
      <c r="Q99" s="13" t="s">
        <v>24</v>
      </c>
      <c r="R99" s="12">
        <v>4</v>
      </c>
    </row>
    <row r="100" spans="1:18" ht="17" customHeight="1" x14ac:dyDescent="0.2">
      <c r="A100" s="5" t="s">
        <v>478</v>
      </c>
      <c r="B100" s="6" t="s">
        <v>479</v>
      </c>
      <c r="C100" s="5" t="s">
        <v>480</v>
      </c>
      <c r="D100" s="5" t="s">
        <v>480</v>
      </c>
      <c r="E100" s="5" t="s">
        <v>481</v>
      </c>
      <c r="F100" s="5" t="s">
        <v>482</v>
      </c>
      <c r="G100" s="5" t="s">
        <v>234</v>
      </c>
      <c r="H100" s="5" t="s">
        <v>23</v>
      </c>
      <c r="I100" s="5" t="str">
        <f>HYPERLINK("http://www.gamma3.net/","www.gamma3.net")</f>
        <v>www.gamma3.net</v>
      </c>
      <c r="J100" s="7">
        <v>1011.804</v>
      </c>
      <c r="K100" s="7">
        <v>1011.804</v>
      </c>
      <c r="L100" s="8">
        <v>1425.8</v>
      </c>
      <c r="M100" s="7">
        <v>-12.875999999999999</v>
      </c>
      <c r="N100" s="7">
        <v>-12.875999999999999</v>
      </c>
      <c r="O100" s="7">
        <v>24.466000000000001</v>
      </c>
      <c r="P100" s="7">
        <v>7</v>
      </c>
      <c r="Q100" s="7">
        <v>7</v>
      </c>
      <c r="R100" s="7">
        <v>7</v>
      </c>
    </row>
    <row r="101" spans="1:18" ht="17" customHeight="1" x14ac:dyDescent="0.2">
      <c r="A101" s="10" t="s">
        <v>483</v>
      </c>
      <c r="B101" s="11" t="s">
        <v>484</v>
      </c>
      <c r="C101" s="10" t="s">
        <v>485</v>
      </c>
      <c r="D101" s="10" t="s">
        <v>485</v>
      </c>
      <c r="E101" s="10" t="s">
        <v>486</v>
      </c>
      <c r="F101" s="10" t="s">
        <v>48</v>
      </c>
      <c r="G101" s="10" t="s">
        <v>42</v>
      </c>
      <c r="H101" s="10" t="s">
        <v>43</v>
      </c>
      <c r="I101" s="10" t="str">
        <f>HYPERLINK("http://www.armenico.it/","www.armenico.it")</f>
        <v>www.armenico.it</v>
      </c>
      <c r="J101" s="12">
        <v>2007.3</v>
      </c>
      <c r="K101" s="12">
        <v>2007.3</v>
      </c>
      <c r="L101" s="12">
        <v>1425.405</v>
      </c>
      <c r="M101" s="12">
        <v>241.16300000000001</v>
      </c>
      <c r="N101" s="12">
        <v>241.16300000000001</v>
      </c>
      <c r="O101" s="12">
        <v>77.248999999999995</v>
      </c>
      <c r="P101" s="12">
        <v>17</v>
      </c>
      <c r="Q101" s="12">
        <v>17</v>
      </c>
      <c r="R101" s="12">
        <v>18</v>
      </c>
    </row>
    <row r="102" spans="1:18" ht="17" customHeight="1" x14ac:dyDescent="0.2">
      <c r="A102" s="5" t="s">
        <v>487</v>
      </c>
      <c r="B102" s="6" t="s">
        <v>488</v>
      </c>
      <c r="C102" s="5" t="s">
        <v>489</v>
      </c>
      <c r="D102" s="5" t="s">
        <v>489</v>
      </c>
      <c r="E102" s="5" t="s">
        <v>490</v>
      </c>
      <c r="F102" s="5" t="s">
        <v>21</v>
      </c>
      <c r="G102" s="5" t="s">
        <v>100</v>
      </c>
      <c r="H102" s="5" t="s">
        <v>62</v>
      </c>
      <c r="I102" s="5" t="str">
        <f>HYPERLINK("http://www.enzodimartino.it/","www.enzodimartino.it")</f>
        <v>www.enzodimartino.it</v>
      </c>
      <c r="J102" s="7">
        <v>1267.3689999999999</v>
      </c>
      <c r="K102" s="7">
        <v>1267.3689999999999</v>
      </c>
      <c r="L102" s="8">
        <v>1424.03</v>
      </c>
      <c r="M102" s="7">
        <v>4.2</v>
      </c>
      <c r="N102" s="7">
        <v>4.2</v>
      </c>
      <c r="O102" s="7">
        <v>13.598000000000001</v>
      </c>
      <c r="P102" s="9" t="s">
        <v>24</v>
      </c>
      <c r="Q102" s="9" t="s">
        <v>24</v>
      </c>
      <c r="R102" s="7">
        <v>12</v>
      </c>
    </row>
    <row r="103" spans="1:18" ht="17" customHeight="1" x14ac:dyDescent="0.2">
      <c r="A103" s="10" t="s">
        <v>491</v>
      </c>
      <c r="B103" s="11" t="s">
        <v>492</v>
      </c>
      <c r="C103" s="10" t="s">
        <v>493</v>
      </c>
      <c r="D103" s="10" t="s">
        <v>493</v>
      </c>
      <c r="E103" s="10" t="s">
        <v>494</v>
      </c>
      <c r="F103" s="10" t="s">
        <v>367</v>
      </c>
      <c r="G103" s="10" t="s">
        <v>283</v>
      </c>
      <c r="H103" s="10" t="s">
        <v>74</v>
      </c>
      <c r="I103" s="10" t="str">
        <f>HYPERLINK("http://www.damapartner.com/","www.damapartner.com")</f>
        <v>www.damapartner.com</v>
      </c>
      <c r="J103" s="12">
        <v>1454.2750000000001</v>
      </c>
      <c r="K103" s="12">
        <v>1454.2750000000001</v>
      </c>
      <c r="L103" s="12">
        <v>1423.8109999999999</v>
      </c>
      <c r="M103" s="12">
        <v>8.4619999999999997</v>
      </c>
      <c r="N103" s="12">
        <v>8.4619999999999997</v>
      </c>
      <c r="O103" s="12">
        <v>-195.08799999999999</v>
      </c>
      <c r="P103" s="12">
        <v>8</v>
      </c>
      <c r="Q103" s="12">
        <v>8</v>
      </c>
      <c r="R103" s="12">
        <v>8</v>
      </c>
    </row>
    <row r="104" spans="1:18" ht="17" customHeight="1" x14ac:dyDescent="0.2">
      <c r="A104" s="5" t="s">
        <v>495</v>
      </c>
      <c r="B104" s="6" t="s">
        <v>496</v>
      </c>
      <c r="C104" s="5" t="s">
        <v>497</v>
      </c>
      <c r="D104" s="5" t="s">
        <v>497</v>
      </c>
      <c r="E104" s="5" t="s">
        <v>498</v>
      </c>
      <c r="F104" s="5" t="s">
        <v>54</v>
      </c>
      <c r="G104" s="5" t="s">
        <v>49</v>
      </c>
      <c r="H104" s="5" t="s">
        <v>23</v>
      </c>
      <c r="I104" s="5" t="str">
        <f>HYPERLINK("http://www.mgetrusco.it/","www.mgetrusco.it")</f>
        <v>www.mgetrusco.it</v>
      </c>
      <c r="J104" s="7">
        <v>1104.873</v>
      </c>
      <c r="K104" s="7">
        <v>1104.873</v>
      </c>
      <c r="L104" s="8">
        <v>1423.0989999999999</v>
      </c>
      <c r="M104" s="7">
        <v>-5.5970000000000004</v>
      </c>
      <c r="N104" s="7">
        <v>-5.5970000000000004</v>
      </c>
      <c r="O104" s="7">
        <v>-41.009</v>
      </c>
      <c r="P104" s="7">
        <v>6</v>
      </c>
      <c r="Q104" s="7">
        <v>6</v>
      </c>
      <c r="R104" s="7">
        <v>5</v>
      </c>
    </row>
    <row r="105" spans="1:18" ht="17" customHeight="1" x14ac:dyDescent="0.2">
      <c r="A105" s="10" t="s">
        <v>499</v>
      </c>
      <c r="B105" s="11" t="s">
        <v>500</v>
      </c>
      <c r="C105" s="10" t="s">
        <v>501</v>
      </c>
      <c r="D105" s="10" t="s">
        <v>501</v>
      </c>
      <c r="E105" s="10" t="s">
        <v>502</v>
      </c>
      <c r="F105" s="10" t="s">
        <v>41</v>
      </c>
      <c r="G105" s="10" t="s">
        <v>503</v>
      </c>
      <c r="H105" s="10" t="s">
        <v>62</v>
      </c>
      <c r="I105" s="10" t="str">
        <f>HYPERLINK("http://www.laserfashion.it/","www.laserfashion.it")</f>
        <v>www.laserfashion.it</v>
      </c>
      <c r="J105" s="12">
        <v>1555.914</v>
      </c>
      <c r="K105" s="12">
        <v>1555.914</v>
      </c>
      <c r="L105" s="12">
        <v>1421.2819999999999</v>
      </c>
      <c r="M105" s="12">
        <v>11.728</v>
      </c>
      <c r="N105" s="12">
        <v>11.728</v>
      </c>
      <c r="O105" s="12">
        <v>20.067</v>
      </c>
      <c r="P105" s="12">
        <v>15</v>
      </c>
      <c r="Q105" s="12">
        <v>15</v>
      </c>
      <c r="R105" s="12">
        <v>14</v>
      </c>
    </row>
    <row r="106" spans="1:18" ht="17" customHeight="1" x14ac:dyDescent="0.2">
      <c r="A106" s="5" t="s">
        <v>504</v>
      </c>
      <c r="B106" s="6" t="s">
        <v>505</v>
      </c>
      <c r="C106" s="5" t="s">
        <v>506</v>
      </c>
      <c r="D106" s="5" t="s">
        <v>506</v>
      </c>
      <c r="E106" s="5" t="s">
        <v>507</v>
      </c>
      <c r="F106" s="5" t="s">
        <v>482</v>
      </c>
      <c r="G106" s="5" t="s">
        <v>293</v>
      </c>
      <c r="H106" s="5" t="s">
        <v>74</v>
      </c>
      <c r="I106" s="5" t="str">
        <f>HYPERLINK("http://www.castellaridiffusion.com/","www.castellaridiffusion.com")</f>
        <v>www.castellaridiffusion.com</v>
      </c>
      <c r="J106" s="7">
        <v>1681.8989999999999</v>
      </c>
      <c r="K106" s="7">
        <v>1681.8989999999999</v>
      </c>
      <c r="L106" s="8">
        <v>1420.7190000000001</v>
      </c>
      <c r="M106" s="7">
        <v>45.63</v>
      </c>
      <c r="N106" s="7">
        <v>45.63</v>
      </c>
      <c r="O106" s="7">
        <v>-20.445</v>
      </c>
      <c r="P106" s="7">
        <v>10</v>
      </c>
      <c r="Q106" s="7">
        <v>10</v>
      </c>
      <c r="R106" s="7">
        <v>6</v>
      </c>
    </row>
    <row r="107" spans="1:18" ht="17" customHeight="1" x14ac:dyDescent="0.2">
      <c r="A107" s="10" t="s">
        <v>508</v>
      </c>
      <c r="B107" s="11" t="s">
        <v>509</v>
      </c>
      <c r="C107" s="10" t="s">
        <v>510</v>
      </c>
      <c r="D107" s="10" t="s">
        <v>510</v>
      </c>
      <c r="E107" s="10" t="s">
        <v>511</v>
      </c>
      <c r="F107" s="10" t="s">
        <v>482</v>
      </c>
      <c r="G107" s="10" t="s">
        <v>49</v>
      </c>
      <c r="H107" s="10" t="s">
        <v>23</v>
      </c>
      <c r="I107" s="10" t="str">
        <f>HYPERLINK("http://www.gianfrancosisti.com/","www.gianfrancosisti.com")</f>
        <v>www.gianfrancosisti.com</v>
      </c>
      <c r="J107" s="12">
        <v>1382.943</v>
      </c>
      <c r="K107" s="12">
        <v>1382.943</v>
      </c>
      <c r="L107" s="12">
        <v>1419.837</v>
      </c>
      <c r="M107" s="12">
        <v>20.494</v>
      </c>
      <c r="N107" s="12">
        <v>20.494</v>
      </c>
      <c r="O107" s="12">
        <v>16.236000000000001</v>
      </c>
      <c r="P107" s="12">
        <v>10</v>
      </c>
      <c r="Q107" s="12">
        <v>10</v>
      </c>
      <c r="R107" s="12">
        <v>10</v>
      </c>
    </row>
    <row r="108" spans="1:18" ht="17" customHeight="1" x14ac:dyDescent="0.2">
      <c r="A108" s="5" t="s">
        <v>512</v>
      </c>
      <c r="B108" s="6" t="s">
        <v>513</v>
      </c>
      <c r="C108" s="5" t="s">
        <v>514</v>
      </c>
      <c r="D108" s="5" t="s">
        <v>514</v>
      </c>
      <c r="E108" s="5" t="s">
        <v>515</v>
      </c>
      <c r="F108" s="5" t="s">
        <v>21</v>
      </c>
      <c r="G108" s="5" t="s">
        <v>89</v>
      </c>
      <c r="H108" s="5" t="s">
        <v>56</v>
      </c>
      <c r="I108" s="5" t="str">
        <f>HYPERLINK("http://www.ducanero.it/","www.ducanero.it")</f>
        <v>www.ducanero.it</v>
      </c>
      <c r="J108" s="7">
        <v>1436.9639999999999</v>
      </c>
      <c r="K108" s="7">
        <v>1436.9639999999999</v>
      </c>
      <c r="L108" s="8">
        <v>1419.4760000000001</v>
      </c>
      <c r="M108" s="7">
        <v>0.70099999999999996</v>
      </c>
      <c r="N108" s="7">
        <v>0.70099999999999996</v>
      </c>
      <c r="O108" s="7">
        <v>15.170999999999999</v>
      </c>
      <c r="P108" s="7">
        <v>7</v>
      </c>
      <c r="Q108" s="7">
        <v>7</v>
      </c>
      <c r="R108" s="7">
        <v>7</v>
      </c>
    </row>
    <row r="109" spans="1:18" ht="17" customHeight="1" x14ac:dyDescent="0.2">
      <c r="A109" s="10" t="s">
        <v>516</v>
      </c>
      <c r="B109" s="11" t="s">
        <v>517</v>
      </c>
      <c r="C109" s="10" t="s">
        <v>518</v>
      </c>
      <c r="D109" s="10" t="s">
        <v>518</v>
      </c>
      <c r="E109" s="10" t="s">
        <v>519</v>
      </c>
      <c r="F109" s="10" t="s">
        <v>134</v>
      </c>
      <c r="G109" s="10" t="s">
        <v>100</v>
      </c>
      <c r="H109" s="10" t="s">
        <v>62</v>
      </c>
      <c r="I109" s="10" t="str">
        <f>HYPERLINK("http://gruppogama.it/","gruppogama.it")</f>
        <v>gruppogama.it</v>
      </c>
      <c r="J109" s="12">
        <v>1958.836</v>
      </c>
      <c r="K109" s="12">
        <v>1958.836</v>
      </c>
      <c r="L109" s="12">
        <v>1417.9580000000001</v>
      </c>
      <c r="M109" s="12">
        <v>102.509</v>
      </c>
      <c r="N109" s="12">
        <v>102.509</v>
      </c>
      <c r="O109" s="12">
        <v>64.174999999999997</v>
      </c>
      <c r="P109" s="13" t="s">
        <v>24</v>
      </c>
      <c r="Q109" s="13" t="s">
        <v>24</v>
      </c>
      <c r="R109" s="12">
        <v>3</v>
      </c>
    </row>
    <row r="110" spans="1:18" ht="17" customHeight="1" x14ac:dyDescent="0.2">
      <c r="A110" s="5" t="s">
        <v>520</v>
      </c>
      <c r="B110" s="6" t="s">
        <v>521</v>
      </c>
      <c r="C110" s="5" t="s">
        <v>522</v>
      </c>
      <c r="D110" s="5" t="s">
        <v>522</v>
      </c>
      <c r="E110" s="5" t="s">
        <v>523</v>
      </c>
      <c r="F110" s="5" t="s">
        <v>29</v>
      </c>
      <c r="G110" s="5" t="s">
        <v>524</v>
      </c>
      <c r="H110" s="5" t="s">
        <v>525</v>
      </c>
      <c r="I110" s="5" t="str">
        <f>HYPERLINK("http://www.sartorieanthea.it/","www.sartorieanthea.it")</f>
        <v>www.sartorieanthea.it</v>
      </c>
      <c r="J110" s="7">
        <v>2360.9380000000001</v>
      </c>
      <c r="K110" s="7">
        <v>2360.9380000000001</v>
      </c>
      <c r="L110" s="8">
        <v>1417.7919999999999</v>
      </c>
      <c r="M110" s="7">
        <v>173.429</v>
      </c>
      <c r="N110" s="7">
        <v>173.429</v>
      </c>
      <c r="O110" s="7">
        <v>-23.032</v>
      </c>
      <c r="P110" s="9" t="s">
        <v>24</v>
      </c>
      <c r="Q110" s="9" t="s">
        <v>24</v>
      </c>
      <c r="R110" s="7">
        <v>44</v>
      </c>
    </row>
    <row r="111" spans="1:18" ht="17" customHeight="1" x14ac:dyDescent="0.2">
      <c r="A111" s="10" t="s">
        <v>526</v>
      </c>
      <c r="B111" s="11" t="s">
        <v>527</v>
      </c>
      <c r="C111" s="10" t="s">
        <v>528</v>
      </c>
      <c r="D111" s="10" t="s">
        <v>529</v>
      </c>
      <c r="E111" s="10" t="s">
        <v>530</v>
      </c>
      <c r="F111" s="10" t="s">
        <v>105</v>
      </c>
      <c r="G111" s="10" t="s">
        <v>42</v>
      </c>
      <c r="H111" s="10" t="s">
        <v>43</v>
      </c>
      <c r="I111" s="10" t="str">
        <f>HYPERLINK("http://www.cargera.it/","www.cargera.it")</f>
        <v>www.cargera.it</v>
      </c>
      <c r="J111" s="12">
        <v>1173.2139999999999</v>
      </c>
      <c r="K111" s="12">
        <v>1173.2139999999999</v>
      </c>
      <c r="L111" s="12">
        <v>1417.4580000000001</v>
      </c>
      <c r="M111" s="12">
        <v>4.0609999999999999</v>
      </c>
      <c r="N111" s="12">
        <v>4.0609999999999999</v>
      </c>
      <c r="O111" s="12">
        <v>20.536000000000001</v>
      </c>
      <c r="P111" s="13" t="s">
        <v>24</v>
      </c>
      <c r="Q111" s="13" t="s">
        <v>24</v>
      </c>
      <c r="R111" s="12">
        <v>11</v>
      </c>
    </row>
    <row r="112" spans="1:18" ht="29.5" customHeight="1" x14ac:dyDescent="0.2">
      <c r="A112" s="5" t="s">
        <v>531</v>
      </c>
      <c r="B112" s="6" t="s">
        <v>532</v>
      </c>
      <c r="C112" s="5" t="s">
        <v>533</v>
      </c>
      <c r="D112" s="5" t="s">
        <v>533</v>
      </c>
      <c r="E112" s="5" t="s">
        <v>534</v>
      </c>
      <c r="F112" s="5" t="s">
        <v>105</v>
      </c>
      <c r="G112" s="5" t="s">
        <v>190</v>
      </c>
      <c r="H112" s="5" t="s">
        <v>74</v>
      </c>
      <c r="I112" s="5" t="str">
        <f>HYPERLINK("http://www.win-srl.it/","www.win-srl.it")</f>
        <v>www.win-srl.it</v>
      </c>
      <c r="J112" s="7">
        <v>1141.577</v>
      </c>
      <c r="K112" s="7">
        <v>1141.577</v>
      </c>
      <c r="L112" s="8">
        <v>1416.884</v>
      </c>
      <c r="M112" s="7">
        <v>24.885000000000002</v>
      </c>
      <c r="N112" s="7">
        <v>24.885000000000002</v>
      </c>
      <c r="O112" s="7">
        <v>16.196000000000002</v>
      </c>
      <c r="P112" s="9" t="s">
        <v>24</v>
      </c>
      <c r="Q112" s="9" t="s">
        <v>24</v>
      </c>
      <c r="R112" s="7">
        <v>2</v>
      </c>
    </row>
    <row r="113" spans="1:18" ht="17" customHeight="1" x14ac:dyDescent="0.2">
      <c r="A113" s="10" t="s">
        <v>535</v>
      </c>
      <c r="B113" s="11" t="s">
        <v>536</v>
      </c>
      <c r="C113" s="10" t="s">
        <v>537</v>
      </c>
      <c r="D113" s="10" t="s">
        <v>537</v>
      </c>
      <c r="E113" s="10" t="s">
        <v>538</v>
      </c>
      <c r="F113" s="10" t="s">
        <v>181</v>
      </c>
      <c r="G113" s="10" t="s">
        <v>42</v>
      </c>
      <c r="H113" s="10" t="s">
        <v>43</v>
      </c>
      <c r="I113" s="10" t="str">
        <f>HYPERLINK("http://www.maglificiocortese.it/","www.maglificiocortese.it")</f>
        <v>www.maglificiocortese.it</v>
      </c>
      <c r="J113" s="12">
        <v>1211.202</v>
      </c>
      <c r="K113" s="12">
        <v>1211.202</v>
      </c>
      <c r="L113" s="12">
        <v>1416.2670000000001</v>
      </c>
      <c r="M113" s="12">
        <v>6.5380000000000003</v>
      </c>
      <c r="N113" s="12">
        <v>6.5380000000000003</v>
      </c>
      <c r="O113" s="12">
        <v>19.213000000000001</v>
      </c>
      <c r="P113" s="12">
        <v>11</v>
      </c>
      <c r="Q113" s="12">
        <v>11</v>
      </c>
      <c r="R113" s="12">
        <v>11</v>
      </c>
    </row>
    <row r="114" spans="1:18" ht="17" customHeight="1" x14ac:dyDescent="0.2">
      <c r="A114" s="5" t="s">
        <v>539</v>
      </c>
      <c r="B114" s="6" t="s">
        <v>540</v>
      </c>
      <c r="C114" s="5" t="s">
        <v>541</v>
      </c>
      <c r="D114" s="5" t="s">
        <v>541</v>
      </c>
      <c r="E114" s="5" t="s">
        <v>542</v>
      </c>
      <c r="F114" s="5" t="s">
        <v>48</v>
      </c>
      <c r="G114" s="5" t="s">
        <v>190</v>
      </c>
      <c r="H114" s="5" t="s">
        <v>74</v>
      </c>
      <c r="I114" s="5" t="str">
        <f>HYPERLINK("http://maximabags.com/","maximabags.com")</f>
        <v>maximabags.com</v>
      </c>
      <c r="J114" s="7">
        <v>1161.222</v>
      </c>
      <c r="K114" s="7">
        <v>1161.222</v>
      </c>
      <c r="L114" s="8">
        <v>1412.079</v>
      </c>
      <c r="M114" s="7">
        <v>31.148</v>
      </c>
      <c r="N114" s="7">
        <v>31.148</v>
      </c>
      <c r="O114" s="7">
        <v>43</v>
      </c>
      <c r="P114" s="7">
        <v>7</v>
      </c>
      <c r="Q114" s="7">
        <v>7</v>
      </c>
      <c r="R114" s="7">
        <v>7</v>
      </c>
    </row>
    <row r="115" spans="1:18" ht="17" customHeight="1" x14ac:dyDescent="0.2">
      <c r="A115" s="10" t="s">
        <v>543</v>
      </c>
      <c r="B115" s="11" t="s">
        <v>544</v>
      </c>
      <c r="C115" s="10" t="s">
        <v>545</v>
      </c>
      <c r="D115" s="10" t="s">
        <v>545</v>
      </c>
      <c r="E115" s="10" t="s">
        <v>546</v>
      </c>
      <c r="F115" s="10" t="s">
        <v>48</v>
      </c>
      <c r="G115" s="10" t="s">
        <v>547</v>
      </c>
      <c r="H115" s="10" t="s">
        <v>299</v>
      </c>
      <c r="I115" s="10" t="str">
        <f>HYPERLINK("http://www.brandinatheoriginal.it/","www.brandinatheoriginal.it")</f>
        <v>www.brandinatheoriginal.it</v>
      </c>
      <c r="J115" s="12">
        <v>1436.15</v>
      </c>
      <c r="K115" s="12">
        <v>1436.15</v>
      </c>
      <c r="L115" s="12">
        <v>1411.877</v>
      </c>
      <c r="M115" s="12">
        <v>99.411000000000001</v>
      </c>
      <c r="N115" s="12">
        <v>99.411000000000001</v>
      </c>
      <c r="O115" s="12">
        <v>223.114</v>
      </c>
      <c r="P115" s="12">
        <v>17</v>
      </c>
      <c r="Q115" s="12">
        <v>17</v>
      </c>
      <c r="R115" s="12">
        <v>19</v>
      </c>
    </row>
    <row r="116" spans="1:18" ht="17" customHeight="1" x14ac:dyDescent="0.2">
      <c r="A116" s="5" t="s">
        <v>548</v>
      </c>
      <c r="B116" s="6" t="s">
        <v>549</v>
      </c>
      <c r="C116" s="5" t="s">
        <v>550</v>
      </c>
      <c r="D116" s="5" t="s">
        <v>550</v>
      </c>
      <c r="E116" s="5" t="s">
        <v>551</v>
      </c>
      <c r="F116" s="5" t="s">
        <v>181</v>
      </c>
      <c r="G116" s="5" t="s">
        <v>552</v>
      </c>
      <c r="H116" s="5" t="s">
        <v>74</v>
      </c>
      <c r="I116" s="5" t="str">
        <f>HYPERLINK("http://www.alantricot.it/","www.alantricot.it")</f>
        <v>www.alantricot.it</v>
      </c>
      <c r="J116" s="7">
        <v>1254.5060000000001</v>
      </c>
      <c r="K116" s="7">
        <v>1254.5060000000001</v>
      </c>
      <c r="L116" s="8">
        <v>1411.165</v>
      </c>
      <c r="M116" s="7">
        <v>9.6419999999999995</v>
      </c>
      <c r="N116" s="7">
        <v>9.6419999999999995</v>
      </c>
      <c r="O116" s="7">
        <v>3.399</v>
      </c>
      <c r="P116" s="9" t="s">
        <v>24</v>
      </c>
      <c r="Q116" s="9" t="s">
        <v>24</v>
      </c>
      <c r="R116" s="7">
        <v>11</v>
      </c>
    </row>
    <row r="117" spans="1:18" ht="17" customHeight="1" x14ac:dyDescent="0.2">
      <c r="A117" s="10" t="s">
        <v>553</v>
      </c>
      <c r="B117" s="11" t="s">
        <v>554</v>
      </c>
      <c r="C117" s="10" t="s">
        <v>555</v>
      </c>
      <c r="D117" s="10" t="s">
        <v>555</v>
      </c>
      <c r="E117" s="10" t="s">
        <v>556</v>
      </c>
      <c r="F117" s="10" t="s">
        <v>41</v>
      </c>
      <c r="G117" s="10" t="s">
        <v>42</v>
      </c>
      <c r="H117" s="10" t="s">
        <v>43</v>
      </c>
      <c r="I117" s="10" t="str">
        <f>HYPERLINK("http://www.ilsman.com/","www.ilsman.com")</f>
        <v>www.ilsman.com</v>
      </c>
      <c r="J117" s="12">
        <v>745.46500000000003</v>
      </c>
      <c r="K117" s="12">
        <v>745.46500000000003</v>
      </c>
      <c r="L117" s="12">
        <v>1410.8530000000001</v>
      </c>
      <c r="M117" s="12">
        <v>38.624000000000002</v>
      </c>
      <c r="N117" s="12">
        <v>38.624000000000002</v>
      </c>
      <c r="O117" s="12">
        <v>113.81399999999999</v>
      </c>
      <c r="P117" s="12">
        <v>1</v>
      </c>
      <c r="Q117" s="12">
        <v>1</v>
      </c>
      <c r="R117" s="12">
        <v>1</v>
      </c>
    </row>
    <row r="118" spans="1:18" ht="29.5" customHeight="1" x14ac:dyDescent="0.2">
      <c r="A118" s="5" t="s">
        <v>557</v>
      </c>
      <c r="B118" s="6" t="s">
        <v>558</v>
      </c>
      <c r="C118" s="5" t="s">
        <v>559</v>
      </c>
      <c r="D118" s="5" t="s">
        <v>559</v>
      </c>
      <c r="E118" s="5" t="s">
        <v>560</v>
      </c>
      <c r="F118" s="5" t="s">
        <v>54</v>
      </c>
      <c r="G118" s="5" t="s">
        <v>84</v>
      </c>
      <c r="H118" s="5" t="s">
        <v>74</v>
      </c>
      <c r="I118" s="5" t="str">
        <f>HYPERLINK("http://www.dulioaccessori.it/","www.dulioaccessori.it")</f>
        <v>www.dulioaccessori.it</v>
      </c>
      <c r="J118" s="7">
        <v>924.13400000000001</v>
      </c>
      <c r="K118" s="7">
        <v>924.13400000000001</v>
      </c>
      <c r="L118" s="8">
        <v>1409.723</v>
      </c>
      <c r="M118" s="7">
        <v>4.883</v>
      </c>
      <c r="N118" s="7">
        <v>4.883</v>
      </c>
      <c r="O118" s="7">
        <v>12.629</v>
      </c>
      <c r="P118" s="7">
        <v>8</v>
      </c>
      <c r="Q118" s="7">
        <v>8</v>
      </c>
      <c r="R118" s="7">
        <v>8</v>
      </c>
    </row>
    <row r="119" spans="1:18" ht="43" customHeight="1" x14ac:dyDescent="0.2">
      <c r="A119" s="10" t="s">
        <v>561</v>
      </c>
      <c r="B119" s="11" t="s">
        <v>562</v>
      </c>
      <c r="C119" s="10" t="s">
        <v>563</v>
      </c>
      <c r="D119" s="10" t="s">
        <v>563</v>
      </c>
      <c r="E119" s="10" t="s">
        <v>564</v>
      </c>
      <c r="F119" s="10" t="s">
        <v>114</v>
      </c>
      <c r="G119" s="10" t="s">
        <v>190</v>
      </c>
      <c r="H119" s="10" t="s">
        <v>74</v>
      </c>
      <c r="I119" s="10" t="str">
        <f>HYPERLINK("http://www.lastupenderia.com/","www.lastupenderia.com")</f>
        <v>www.lastupenderia.com</v>
      </c>
      <c r="J119" s="12">
        <v>1478.404</v>
      </c>
      <c r="K119" s="12">
        <v>1478.404</v>
      </c>
      <c r="L119" s="12">
        <v>1409.2260000000001</v>
      </c>
      <c r="M119" s="12">
        <v>4.9509999999999996</v>
      </c>
      <c r="N119" s="12">
        <v>4.9509999999999996</v>
      </c>
      <c r="O119" s="12">
        <v>70.786000000000001</v>
      </c>
      <c r="P119" s="12">
        <v>7</v>
      </c>
      <c r="Q119" s="12">
        <v>7</v>
      </c>
      <c r="R119" s="12">
        <v>8</v>
      </c>
    </row>
    <row r="120" spans="1:18" ht="17" customHeight="1" x14ac:dyDescent="0.2">
      <c r="A120" s="5" t="s">
        <v>565</v>
      </c>
      <c r="B120" s="6" t="s">
        <v>566</v>
      </c>
      <c r="C120" s="5" t="s">
        <v>567</v>
      </c>
      <c r="D120" s="5" t="s">
        <v>567</v>
      </c>
      <c r="E120" s="5" t="s">
        <v>568</v>
      </c>
      <c r="F120" s="5" t="s">
        <v>134</v>
      </c>
      <c r="G120" s="5" t="s">
        <v>190</v>
      </c>
      <c r="H120" s="5" t="s">
        <v>74</v>
      </c>
      <c r="I120" s="5" t="str">
        <f>HYPERLINK("http://a-caraceni.it/","a-caraceni.it")</f>
        <v>a-caraceni.it</v>
      </c>
      <c r="J120" s="7">
        <v>1257.5450000000001</v>
      </c>
      <c r="K120" s="7">
        <v>1257.5450000000001</v>
      </c>
      <c r="L120" s="8">
        <v>1407.9680000000001</v>
      </c>
      <c r="M120" s="7">
        <v>-46.2</v>
      </c>
      <c r="N120" s="7">
        <v>-46.2</v>
      </c>
      <c r="O120" s="7">
        <v>40.691000000000003</v>
      </c>
      <c r="P120" s="7">
        <v>17</v>
      </c>
      <c r="Q120" s="7">
        <v>17</v>
      </c>
      <c r="R120" s="7">
        <v>17</v>
      </c>
    </row>
    <row r="121" spans="1:18" ht="29.5" customHeight="1" x14ac:dyDescent="0.2">
      <c r="A121" s="10" t="s">
        <v>569</v>
      </c>
      <c r="B121" s="11" t="s">
        <v>570</v>
      </c>
      <c r="C121" s="10" t="s">
        <v>571</v>
      </c>
      <c r="D121" s="10" t="s">
        <v>571</v>
      </c>
      <c r="E121" s="10" t="s">
        <v>572</v>
      </c>
      <c r="F121" s="10" t="s">
        <v>41</v>
      </c>
      <c r="G121" s="10" t="s">
        <v>36</v>
      </c>
      <c r="H121" s="10" t="s">
        <v>23</v>
      </c>
      <c r="I121" s="10" t="str">
        <f>HYPERLINK("http://www.valpel.it/","http://www.valpel.it/")</f>
        <v>http://www.valpel.it/</v>
      </c>
      <c r="J121" s="12">
        <v>1072.2919999999999</v>
      </c>
      <c r="K121" s="12">
        <v>1072.2919999999999</v>
      </c>
      <c r="L121" s="12">
        <v>1406.703</v>
      </c>
      <c r="M121" s="12">
        <v>-15.481</v>
      </c>
      <c r="N121" s="12">
        <v>-15.481</v>
      </c>
      <c r="O121" s="12">
        <v>-26.439</v>
      </c>
      <c r="P121" s="12">
        <v>2</v>
      </c>
      <c r="Q121" s="12">
        <v>2</v>
      </c>
      <c r="R121" s="12">
        <v>3</v>
      </c>
    </row>
    <row r="122" spans="1:18" ht="17" customHeight="1" x14ac:dyDescent="0.2">
      <c r="A122" s="5" t="s">
        <v>573</v>
      </c>
      <c r="B122" s="6" t="s">
        <v>574</v>
      </c>
      <c r="C122" s="5" t="s">
        <v>575</v>
      </c>
      <c r="D122" s="5" t="s">
        <v>575</v>
      </c>
      <c r="E122" s="5" t="s">
        <v>576</v>
      </c>
      <c r="F122" s="5" t="s">
        <v>462</v>
      </c>
      <c r="G122" s="5" t="s">
        <v>293</v>
      </c>
      <c r="H122" s="5" t="s">
        <v>74</v>
      </c>
      <c r="I122" s="5" t="str">
        <f>HYPERLINK("http://www.moretta.biz/","www.moretta.biz")</f>
        <v>www.moretta.biz</v>
      </c>
      <c r="J122" s="7">
        <v>1367.798</v>
      </c>
      <c r="K122" s="7">
        <v>1367.798</v>
      </c>
      <c r="L122" s="8">
        <v>1406.383</v>
      </c>
      <c r="M122" s="7">
        <v>47.52</v>
      </c>
      <c r="N122" s="7">
        <v>47.52</v>
      </c>
      <c r="O122" s="7">
        <v>-10.835000000000001</v>
      </c>
      <c r="P122" s="7">
        <v>14</v>
      </c>
      <c r="Q122" s="7">
        <v>14</v>
      </c>
      <c r="R122" s="7">
        <v>16</v>
      </c>
    </row>
    <row r="123" spans="1:18" ht="17" customHeight="1" x14ac:dyDescent="0.2">
      <c r="A123" s="10" t="s">
        <v>577</v>
      </c>
      <c r="B123" s="11" t="s">
        <v>578</v>
      </c>
      <c r="C123" s="10" t="s">
        <v>579</v>
      </c>
      <c r="D123" s="10" t="s">
        <v>579</v>
      </c>
      <c r="E123" s="10" t="s">
        <v>580</v>
      </c>
      <c r="F123" s="10" t="s">
        <v>41</v>
      </c>
      <c r="G123" s="10" t="s">
        <v>224</v>
      </c>
      <c r="H123" s="10" t="s">
        <v>23</v>
      </c>
      <c r="I123" s="10" t="str">
        <f>HYPERLINK("http://ilpumasrl.it/","ilpumasrl.it")</f>
        <v>ilpumasrl.it</v>
      </c>
      <c r="J123" s="12">
        <v>1675.838</v>
      </c>
      <c r="K123" s="12">
        <v>1675.838</v>
      </c>
      <c r="L123" s="12">
        <v>1406.057</v>
      </c>
      <c r="M123" s="12">
        <v>208.26900000000001</v>
      </c>
      <c r="N123" s="12">
        <v>208.26900000000001</v>
      </c>
      <c r="O123" s="12">
        <v>102.458</v>
      </c>
      <c r="P123" s="13" t="s">
        <v>24</v>
      </c>
      <c r="Q123" s="13" t="s">
        <v>24</v>
      </c>
      <c r="R123" s="12">
        <v>12</v>
      </c>
    </row>
    <row r="124" spans="1:18" ht="17" customHeight="1" x14ac:dyDescent="0.2">
      <c r="A124" s="5" t="s">
        <v>581</v>
      </c>
      <c r="B124" s="6" t="s">
        <v>582</v>
      </c>
      <c r="C124" s="5" t="s">
        <v>583</v>
      </c>
      <c r="D124" s="5" t="s">
        <v>583</v>
      </c>
      <c r="E124" s="5" t="s">
        <v>584</v>
      </c>
      <c r="F124" s="5" t="s">
        <v>181</v>
      </c>
      <c r="G124" s="5" t="s">
        <v>283</v>
      </c>
      <c r="H124" s="5" t="s">
        <v>74</v>
      </c>
      <c r="I124" s="5" t="str">
        <f>HYPERLINK("http://www.bmtex.it/","www.bmtex.it")</f>
        <v>www.bmtex.it</v>
      </c>
      <c r="J124" s="7">
        <v>1111.127</v>
      </c>
      <c r="K124" s="7">
        <v>1111.127</v>
      </c>
      <c r="L124" s="8">
        <v>1406.0509999999999</v>
      </c>
      <c r="M124" s="7">
        <v>138.761</v>
      </c>
      <c r="N124" s="7">
        <v>138.761</v>
      </c>
      <c r="O124" s="7">
        <v>299.435</v>
      </c>
      <c r="P124" s="7">
        <v>13</v>
      </c>
      <c r="Q124" s="7">
        <v>13</v>
      </c>
      <c r="R124" s="7">
        <v>13</v>
      </c>
    </row>
    <row r="125" spans="1:18" ht="17" customHeight="1" x14ac:dyDescent="0.2">
      <c r="A125" s="10" t="s">
        <v>585</v>
      </c>
      <c r="B125" s="11" t="s">
        <v>586</v>
      </c>
      <c r="C125" s="10" t="s">
        <v>587</v>
      </c>
      <c r="D125" s="10" t="s">
        <v>587</v>
      </c>
      <c r="E125" s="10" t="s">
        <v>588</v>
      </c>
      <c r="F125" s="10" t="s">
        <v>367</v>
      </c>
      <c r="G125" s="10" t="s">
        <v>190</v>
      </c>
      <c r="H125" s="10" t="s">
        <v>74</v>
      </c>
      <c r="I125" s="10" t="str">
        <f>HYPERLINK("http://www.mycroclean.com/","www.mycroclean.com")</f>
        <v>www.mycroclean.com</v>
      </c>
      <c r="J125" s="12">
        <v>1484.1110000000001</v>
      </c>
      <c r="K125" s="12">
        <v>1484.1110000000001</v>
      </c>
      <c r="L125" s="12">
        <v>1404.6130000000001</v>
      </c>
      <c r="M125" s="12">
        <v>8.1950000000000003</v>
      </c>
      <c r="N125" s="12">
        <v>8.1950000000000003</v>
      </c>
      <c r="O125" s="12">
        <v>-30.140999999999998</v>
      </c>
      <c r="P125" s="12">
        <v>12</v>
      </c>
      <c r="Q125" s="12">
        <v>12</v>
      </c>
      <c r="R125" s="12">
        <v>12</v>
      </c>
    </row>
    <row r="126" spans="1:18" ht="17" customHeight="1" x14ac:dyDescent="0.2">
      <c r="A126" s="5" t="s">
        <v>589</v>
      </c>
      <c r="B126" s="6" t="s">
        <v>590</v>
      </c>
      <c r="C126" s="5" t="s">
        <v>591</v>
      </c>
      <c r="D126" s="5" t="s">
        <v>591</v>
      </c>
      <c r="E126" s="5" t="s">
        <v>592</v>
      </c>
      <c r="F126" s="5" t="s">
        <v>21</v>
      </c>
      <c r="G126" s="5" t="s">
        <v>100</v>
      </c>
      <c r="H126" s="5" t="s">
        <v>62</v>
      </c>
      <c r="I126" s="5" t="str">
        <f>HYPERLINK("http://www.theicona.it/","www.theicona.it")</f>
        <v>www.theicona.it</v>
      </c>
      <c r="J126" s="7">
        <v>2184.953</v>
      </c>
      <c r="K126" s="7">
        <v>2184.953</v>
      </c>
      <c r="L126" s="8">
        <v>1404.4939999999999</v>
      </c>
      <c r="M126" s="7">
        <v>29.773</v>
      </c>
      <c r="N126" s="7">
        <v>29.773</v>
      </c>
      <c r="O126" s="7">
        <v>23.271999999999998</v>
      </c>
      <c r="P126" s="7">
        <v>6</v>
      </c>
      <c r="Q126" s="7">
        <v>6</v>
      </c>
      <c r="R126" s="7">
        <v>6</v>
      </c>
    </row>
    <row r="127" spans="1:18" ht="17" customHeight="1" x14ac:dyDescent="0.2">
      <c r="A127" s="10" t="s">
        <v>593</v>
      </c>
      <c r="B127" s="11" t="s">
        <v>594</v>
      </c>
      <c r="C127" s="10" t="s">
        <v>595</v>
      </c>
      <c r="D127" s="10" t="s">
        <v>595</v>
      </c>
      <c r="E127" s="10" t="s">
        <v>596</v>
      </c>
      <c r="F127" s="10" t="s">
        <v>72</v>
      </c>
      <c r="G127" s="10" t="s">
        <v>283</v>
      </c>
      <c r="H127" s="10" t="s">
        <v>74</v>
      </c>
      <c r="I127" s="10" t="str">
        <f>HYPERLINK("http://www.ebfashion.eu/","http://www.ebfashion.eu")</f>
        <v>http://www.ebfashion.eu</v>
      </c>
      <c r="J127" s="12">
        <v>1281.758</v>
      </c>
      <c r="K127" s="12">
        <v>1281.758</v>
      </c>
      <c r="L127" s="12">
        <v>1402.5260000000001</v>
      </c>
      <c r="M127" s="12">
        <v>-28.181999999999999</v>
      </c>
      <c r="N127" s="12">
        <v>-28.181999999999999</v>
      </c>
      <c r="O127" s="12">
        <v>-98.853999999999999</v>
      </c>
      <c r="P127" s="12">
        <v>8</v>
      </c>
      <c r="Q127" s="12">
        <v>8</v>
      </c>
      <c r="R127" s="12">
        <v>9</v>
      </c>
    </row>
    <row r="128" spans="1:18" ht="17" customHeight="1" x14ac:dyDescent="0.2">
      <c r="A128" s="5" t="s">
        <v>597</v>
      </c>
      <c r="B128" s="6" t="s">
        <v>598</v>
      </c>
      <c r="C128" s="5" t="s">
        <v>599</v>
      </c>
      <c r="D128" s="5" t="s">
        <v>599</v>
      </c>
      <c r="E128" s="5" t="s">
        <v>600</v>
      </c>
      <c r="F128" s="5" t="s">
        <v>114</v>
      </c>
      <c r="G128" s="5" t="s">
        <v>211</v>
      </c>
      <c r="H128" s="5" t="s">
        <v>74</v>
      </c>
      <c r="I128" s="5" t="str">
        <f>HYPERLINK("http://www.massrl.info/","www.massrl.info")</f>
        <v>www.massrl.info</v>
      </c>
      <c r="J128" s="7">
        <v>1166.96</v>
      </c>
      <c r="K128" s="7">
        <v>1166.96</v>
      </c>
      <c r="L128" s="8">
        <v>1402.2239999999999</v>
      </c>
      <c r="M128" s="7">
        <v>66.878</v>
      </c>
      <c r="N128" s="7">
        <v>66.878</v>
      </c>
      <c r="O128" s="7">
        <v>37.923000000000002</v>
      </c>
      <c r="P128" s="7">
        <v>4</v>
      </c>
      <c r="Q128" s="7">
        <v>4</v>
      </c>
      <c r="R128" s="7">
        <v>4</v>
      </c>
    </row>
    <row r="129" spans="1:18" ht="17" customHeight="1" x14ac:dyDescent="0.2">
      <c r="A129" s="10" t="s">
        <v>601</v>
      </c>
      <c r="B129" s="11" t="s">
        <v>602</v>
      </c>
      <c r="C129" s="10" t="s">
        <v>603</v>
      </c>
      <c r="D129" s="10" t="s">
        <v>603</v>
      </c>
      <c r="E129" s="10" t="s">
        <v>604</v>
      </c>
      <c r="F129" s="10" t="s">
        <v>181</v>
      </c>
      <c r="G129" s="10" t="s">
        <v>437</v>
      </c>
      <c r="H129" s="10" t="s">
        <v>407</v>
      </c>
      <c r="I129" s="10" t="str">
        <f>HYPERLINK("http://b2b.umbertovallati.it/","b2b.umbertovallati.it")</f>
        <v>b2b.umbertovallati.it</v>
      </c>
      <c r="J129" s="12">
        <v>1832.192</v>
      </c>
      <c r="K129" s="12">
        <v>1832.192</v>
      </c>
      <c r="L129" s="12">
        <v>1401.9480000000001</v>
      </c>
      <c r="M129" s="12">
        <v>32.567999999999998</v>
      </c>
      <c r="N129" s="12">
        <v>32.567999999999998</v>
      </c>
      <c r="O129" s="12">
        <v>45.365000000000002</v>
      </c>
      <c r="P129" s="13" t="s">
        <v>24</v>
      </c>
      <c r="Q129" s="13" t="s">
        <v>24</v>
      </c>
      <c r="R129" s="12">
        <v>12</v>
      </c>
    </row>
    <row r="130" spans="1:18" ht="17" customHeight="1" x14ac:dyDescent="0.2">
      <c r="A130" s="5" t="s">
        <v>605</v>
      </c>
      <c r="B130" s="6" t="s">
        <v>606</v>
      </c>
      <c r="C130" s="5" t="s">
        <v>607</v>
      </c>
      <c r="D130" s="5" t="s">
        <v>607</v>
      </c>
      <c r="E130" s="5" t="s">
        <v>608</v>
      </c>
      <c r="F130" s="5" t="s">
        <v>54</v>
      </c>
      <c r="G130" s="5" t="s">
        <v>100</v>
      </c>
      <c r="H130" s="5" t="s">
        <v>62</v>
      </c>
      <c r="I130" s="5" t="str">
        <f>HYPERLINK("http://www.silveredegroup.com/","www.silveredegroup.com")</f>
        <v>www.silveredegroup.com</v>
      </c>
      <c r="J130" s="7">
        <v>1477.683</v>
      </c>
      <c r="K130" s="7">
        <v>1477.683</v>
      </c>
      <c r="L130" s="8">
        <v>1401.028</v>
      </c>
      <c r="M130" s="7">
        <v>2.2759999999999998</v>
      </c>
      <c r="N130" s="7">
        <v>2.2759999999999998</v>
      </c>
      <c r="O130" s="7">
        <v>-186.50399999999999</v>
      </c>
      <c r="P130" s="7">
        <v>25</v>
      </c>
      <c r="Q130" s="7">
        <v>25</v>
      </c>
      <c r="R130" s="7">
        <v>23</v>
      </c>
    </row>
    <row r="131" spans="1:18" ht="29.5" customHeight="1" x14ac:dyDescent="0.2">
      <c r="A131" s="10" t="s">
        <v>609</v>
      </c>
      <c r="B131" s="11" t="s">
        <v>610</v>
      </c>
      <c r="C131" s="10" t="s">
        <v>611</v>
      </c>
      <c r="D131" s="10" t="s">
        <v>611</v>
      </c>
      <c r="E131" s="10" t="s">
        <v>612</v>
      </c>
      <c r="F131" s="10" t="s">
        <v>21</v>
      </c>
      <c r="G131" s="10" t="s">
        <v>79</v>
      </c>
      <c r="H131" s="10" t="s">
        <v>56</v>
      </c>
      <c r="I131" s="10" t="str">
        <f>HYPERLINK("http://www.grazianosalvatelli.it/","www.grazianosalvatelli.it")</f>
        <v>www.grazianosalvatelli.it</v>
      </c>
      <c r="J131" s="12">
        <v>2153.4090000000001</v>
      </c>
      <c r="K131" s="12">
        <v>2153.4090000000001</v>
      </c>
      <c r="L131" s="12">
        <v>1399.1189999999999</v>
      </c>
      <c r="M131" s="12">
        <v>125.446</v>
      </c>
      <c r="N131" s="12">
        <v>125.446</v>
      </c>
      <c r="O131" s="12">
        <v>27.036000000000001</v>
      </c>
      <c r="P131" s="12">
        <v>12</v>
      </c>
      <c r="Q131" s="12">
        <v>12</v>
      </c>
      <c r="R131" s="12">
        <v>13</v>
      </c>
    </row>
    <row r="132" spans="1:18" ht="17" customHeight="1" x14ac:dyDescent="0.2">
      <c r="A132" s="5" t="s">
        <v>613</v>
      </c>
      <c r="B132" s="6" t="s">
        <v>614</v>
      </c>
      <c r="C132" s="5" t="s">
        <v>615</v>
      </c>
      <c r="D132" s="5" t="s">
        <v>615</v>
      </c>
      <c r="E132" s="5" t="s">
        <v>616</v>
      </c>
      <c r="F132" s="5" t="s">
        <v>114</v>
      </c>
      <c r="G132" s="5" t="s">
        <v>100</v>
      </c>
      <c r="H132" s="5" t="s">
        <v>62</v>
      </c>
      <c r="I132" s="5" t="str">
        <f>HYPERLINK("http://www.cslgroup.it/","www.cslgroup.it")</f>
        <v>www.cslgroup.it</v>
      </c>
      <c r="J132" s="7">
        <v>1526.298</v>
      </c>
      <c r="K132" s="7">
        <v>1526.298</v>
      </c>
      <c r="L132" s="8">
        <v>1398.4</v>
      </c>
      <c r="M132" s="7">
        <v>82.960999999999999</v>
      </c>
      <c r="N132" s="7">
        <v>82.960999999999999</v>
      </c>
      <c r="O132" s="7">
        <v>87.091999999999999</v>
      </c>
      <c r="P132" s="7">
        <v>6</v>
      </c>
      <c r="Q132" s="7">
        <v>6</v>
      </c>
      <c r="R132" s="7">
        <v>4</v>
      </c>
    </row>
    <row r="133" spans="1:18" ht="29.5" customHeight="1" x14ac:dyDescent="0.2">
      <c r="A133" s="10" t="s">
        <v>617</v>
      </c>
      <c r="B133" s="11" t="s">
        <v>618</v>
      </c>
      <c r="C133" s="10" t="s">
        <v>619</v>
      </c>
      <c r="D133" s="10" t="s">
        <v>619</v>
      </c>
      <c r="E133" s="10" t="s">
        <v>620</v>
      </c>
      <c r="F133" s="10" t="s">
        <v>21</v>
      </c>
      <c r="G133" s="10" t="s">
        <v>36</v>
      </c>
      <c r="H133" s="10" t="s">
        <v>23</v>
      </c>
      <c r="I133" s="10" t="str">
        <f>HYPERLINK("http://landing.elvaqueroretailers.com/","landing.elvaqueroretailers.com")</f>
        <v>landing.elvaqueroretailers.com</v>
      </c>
      <c r="J133" s="12">
        <v>1399.6020000000001</v>
      </c>
      <c r="K133" s="12">
        <v>1399.6020000000001</v>
      </c>
      <c r="L133" s="12">
        <v>1397.778</v>
      </c>
      <c r="M133" s="12">
        <v>3.5249999999999999</v>
      </c>
      <c r="N133" s="12">
        <v>3.5249999999999999</v>
      </c>
      <c r="O133" s="12">
        <v>28.059000000000001</v>
      </c>
      <c r="P133" s="12">
        <v>4</v>
      </c>
      <c r="Q133" s="12">
        <v>4</v>
      </c>
      <c r="R133" s="12">
        <v>6</v>
      </c>
    </row>
    <row r="134" spans="1:18" ht="17" customHeight="1" x14ac:dyDescent="0.2">
      <c r="A134" s="5" t="s">
        <v>621</v>
      </c>
      <c r="B134" s="6" t="s">
        <v>622</v>
      </c>
      <c r="C134" s="5" t="s">
        <v>623</v>
      </c>
      <c r="D134" s="5" t="s">
        <v>623</v>
      </c>
      <c r="E134" s="5" t="s">
        <v>624</v>
      </c>
      <c r="F134" s="5" t="s">
        <v>114</v>
      </c>
      <c r="G134" s="5" t="s">
        <v>437</v>
      </c>
      <c r="H134" s="5" t="s">
        <v>407</v>
      </c>
      <c r="I134" s="5" t="str">
        <f>HYPERLINK("http://fabbrica247.it/","fabbrica247.it")</f>
        <v>fabbrica247.it</v>
      </c>
      <c r="J134" s="7">
        <v>1411.376</v>
      </c>
      <c r="K134" s="7">
        <v>1411.376</v>
      </c>
      <c r="L134" s="8">
        <v>1397.4480000000001</v>
      </c>
      <c r="M134" s="7">
        <v>16.553999999999998</v>
      </c>
      <c r="N134" s="7">
        <v>16.553999999999998</v>
      </c>
      <c r="O134" s="7">
        <v>-137.733</v>
      </c>
      <c r="P134" s="7">
        <v>6</v>
      </c>
      <c r="Q134" s="7">
        <v>6</v>
      </c>
      <c r="R134" s="7">
        <v>5</v>
      </c>
    </row>
    <row r="135" spans="1:18" ht="17" customHeight="1" x14ac:dyDescent="0.2">
      <c r="A135" s="10" t="s">
        <v>625</v>
      </c>
      <c r="B135" s="11" t="s">
        <v>626</v>
      </c>
      <c r="C135" s="10" t="s">
        <v>627</v>
      </c>
      <c r="D135" s="10" t="s">
        <v>627</v>
      </c>
      <c r="E135" s="10" t="s">
        <v>628</v>
      </c>
      <c r="F135" s="10" t="s">
        <v>105</v>
      </c>
      <c r="G135" s="10" t="s">
        <v>293</v>
      </c>
      <c r="H135" s="10" t="s">
        <v>74</v>
      </c>
      <c r="I135" s="10" t="str">
        <f>HYPERLINK("http://www.alby.it/","http://www.alby.it")</f>
        <v>http://www.alby.it</v>
      </c>
      <c r="J135" s="12">
        <v>1491.788</v>
      </c>
      <c r="K135" s="12">
        <v>1491.788</v>
      </c>
      <c r="L135" s="12">
        <v>1396.6179999999999</v>
      </c>
      <c r="M135" s="12">
        <v>9.1639999999999997</v>
      </c>
      <c r="N135" s="12">
        <v>9.1639999999999997</v>
      </c>
      <c r="O135" s="12">
        <v>8.0939999999999994</v>
      </c>
      <c r="P135" s="12">
        <v>7</v>
      </c>
      <c r="Q135" s="12">
        <v>7</v>
      </c>
      <c r="R135" s="12">
        <v>8</v>
      </c>
    </row>
    <row r="136" spans="1:18" ht="17" customHeight="1" x14ac:dyDescent="0.2">
      <c r="A136" s="5" t="s">
        <v>629</v>
      </c>
      <c r="B136" s="6" t="s">
        <v>630</v>
      </c>
      <c r="C136" s="5" t="s">
        <v>631</v>
      </c>
      <c r="D136" s="5" t="s">
        <v>631</v>
      </c>
      <c r="E136" s="5" t="s">
        <v>632</v>
      </c>
      <c r="F136" s="5" t="s">
        <v>114</v>
      </c>
      <c r="G136" s="5" t="s">
        <v>229</v>
      </c>
      <c r="H136" s="5" t="s">
        <v>31</v>
      </c>
      <c r="I136" s="5" t="str">
        <f>HYPERLINK("http://www.bufishop.it/","www.bufishop.it")</f>
        <v>www.bufishop.it</v>
      </c>
      <c r="J136" s="7">
        <v>1115.1859999999999</v>
      </c>
      <c r="K136" s="7">
        <v>1115.1859999999999</v>
      </c>
      <c r="L136" s="8">
        <v>1396.3969999999999</v>
      </c>
      <c r="M136" s="7">
        <v>-96.707999999999998</v>
      </c>
      <c r="N136" s="7">
        <v>-96.707999999999998</v>
      </c>
      <c r="O136" s="7">
        <v>-276.08600000000001</v>
      </c>
      <c r="P136" s="7">
        <v>8</v>
      </c>
      <c r="Q136" s="7">
        <v>8</v>
      </c>
      <c r="R136" s="7">
        <v>15</v>
      </c>
    </row>
    <row r="137" spans="1:18" ht="17" customHeight="1" x14ac:dyDescent="0.2">
      <c r="A137" s="10" t="s">
        <v>633</v>
      </c>
      <c r="B137" s="11" t="s">
        <v>634</v>
      </c>
      <c r="C137" s="10" t="s">
        <v>635</v>
      </c>
      <c r="D137" s="10" t="s">
        <v>635</v>
      </c>
      <c r="E137" s="10" t="s">
        <v>636</v>
      </c>
      <c r="F137" s="10" t="s">
        <v>114</v>
      </c>
      <c r="G137" s="10" t="s">
        <v>42</v>
      </c>
      <c r="H137" s="10" t="s">
        <v>43</v>
      </c>
      <c r="I137" s="10" t="str">
        <f>HYPERLINK("http://boschinonicouture.it/","boschinonicouture.it")</f>
        <v>boschinonicouture.it</v>
      </c>
      <c r="J137" s="12">
        <v>2346.6390000000001</v>
      </c>
      <c r="K137" s="12">
        <v>2346.6390000000001</v>
      </c>
      <c r="L137" s="12">
        <v>1395.1579999999999</v>
      </c>
      <c r="M137" s="12">
        <v>200.99799999999999</v>
      </c>
      <c r="N137" s="12">
        <v>200.99799999999999</v>
      </c>
      <c r="O137" s="12">
        <v>24.907</v>
      </c>
      <c r="P137" s="12">
        <v>17</v>
      </c>
      <c r="Q137" s="12">
        <v>17</v>
      </c>
      <c r="R137" s="12">
        <v>5</v>
      </c>
    </row>
    <row r="138" spans="1:18" ht="17" customHeight="1" x14ac:dyDescent="0.2">
      <c r="A138" s="5" t="s">
        <v>637</v>
      </c>
      <c r="B138" s="6" t="s">
        <v>638</v>
      </c>
      <c r="C138" s="5" t="s">
        <v>639</v>
      </c>
      <c r="D138" s="5" t="s">
        <v>640</v>
      </c>
      <c r="E138" s="5" t="s">
        <v>641</v>
      </c>
      <c r="F138" s="5" t="s">
        <v>105</v>
      </c>
      <c r="G138" s="5" t="s">
        <v>100</v>
      </c>
      <c r="H138" s="5" t="s">
        <v>62</v>
      </c>
      <c r="I138" s="5" t="str">
        <f>HYPERLINK("http://www.laboniagloves.com/","www.laboniagloves.com")</f>
        <v>www.laboniagloves.com</v>
      </c>
      <c r="J138" s="7">
        <v>1484.5450000000001</v>
      </c>
      <c r="K138" s="7">
        <v>1484.5450000000001</v>
      </c>
      <c r="L138" s="8">
        <v>1395.1969999999999</v>
      </c>
      <c r="M138" s="7">
        <v>24.538</v>
      </c>
      <c r="N138" s="7">
        <v>24.538</v>
      </c>
      <c r="O138" s="7">
        <v>45.808</v>
      </c>
      <c r="P138" s="9" t="s">
        <v>24</v>
      </c>
      <c r="Q138" s="9" t="s">
        <v>24</v>
      </c>
      <c r="R138" s="7">
        <v>6</v>
      </c>
    </row>
    <row r="139" spans="1:18" ht="17" customHeight="1" x14ac:dyDescent="0.2">
      <c r="A139" s="10" t="s">
        <v>642</v>
      </c>
      <c r="B139" s="11" t="s">
        <v>643</v>
      </c>
      <c r="C139" s="10" t="s">
        <v>644</v>
      </c>
      <c r="D139" s="10" t="s">
        <v>644</v>
      </c>
      <c r="E139" s="10" t="s">
        <v>645</v>
      </c>
      <c r="F139" s="10" t="s">
        <v>105</v>
      </c>
      <c r="G139" s="10" t="s">
        <v>211</v>
      </c>
      <c r="H139" s="10" t="s">
        <v>74</v>
      </c>
      <c r="I139" s="10" t="str">
        <f>HYPERLINK("http://seddys.com/","seddys.com")</f>
        <v>seddys.com</v>
      </c>
      <c r="J139" s="12">
        <v>1452.837</v>
      </c>
      <c r="K139" s="12">
        <v>1452.837</v>
      </c>
      <c r="L139" s="12">
        <v>1392.806</v>
      </c>
      <c r="M139" s="12">
        <v>6.2430000000000003</v>
      </c>
      <c r="N139" s="12">
        <v>6.2430000000000003</v>
      </c>
      <c r="O139" s="12">
        <v>2.6549999999999998</v>
      </c>
      <c r="P139" s="12">
        <v>6</v>
      </c>
      <c r="Q139" s="12">
        <v>6</v>
      </c>
      <c r="R139" s="12">
        <v>8</v>
      </c>
    </row>
    <row r="140" spans="1:18" ht="17" customHeight="1" x14ac:dyDescent="0.2">
      <c r="A140" s="5" t="s">
        <v>646</v>
      </c>
      <c r="B140" s="6" t="s">
        <v>647</v>
      </c>
      <c r="C140" s="5" t="s">
        <v>648</v>
      </c>
      <c r="D140" s="5" t="s">
        <v>648</v>
      </c>
      <c r="E140" s="5" t="s">
        <v>649</v>
      </c>
      <c r="F140" s="5" t="s">
        <v>114</v>
      </c>
      <c r="G140" s="5" t="s">
        <v>234</v>
      </c>
      <c r="H140" s="5" t="s">
        <v>23</v>
      </c>
      <c r="I140" s="5" t="str">
        <f>HYPERLINK("http://www.solomodasrl.com/","www.solomodasrl.com")</f>
        <v>www.solomodasrl.com</v>
      </c>
      <c r="J140" s="7">
        <v>2836.6770000000001</v>
      </c>
      <c r="K140" s="7">
        <v>2836.6770000000001</v>
      </c>
      <c r="L140" s="8">
        <v>1391.6289999999999</v>
      </c>
      <c r="M140" s="7">
        <v>21.911000000000001</v>
      </c>
      <c r="N140" s="7">
        <v>21.911000000000001</v>
      </c>
      <c r="O140" s="7">
        <v>25.620999999999999</v>
      </c>
      <c r="P140" s="7">
        <v>5</v>
      </c>
      <c r="Q140" s="7">
        <v>5</v>
      </c>
      <c r="R140" s="7">
        <v>5</v>
      </c>
    </row>
    <row r="141" spans="1:18" ht="29.5" customHeight="1" x14ac:dyDescent="0.2">
      <c r="A141" s="10" t="s">
        <v>650</v>
      </c>
      <c r="B141" s="11" t="s">
        <v>651</v>
      </c>
      <c r="C141" s="10" t="s">
        <v>652</v>
      </c>
      <c r="D141" s="10" t="s">
        <v>652</v>
      </c>
      <c r="E141" s="10" t="s">
        <v>653</v>
      </c>
      <c r="F141" s="10" t="s">
        <v>29</v>
      </c>
      <c r="G141" s="10" t="s">
        <v>654</v>
      </c>
      <c r="H141" s="10" t="s">
        <v>159</v>
      </c>
      <c r="I141" s="10" t="str">
        <f>HYPERLINK("http://contessa-elda-srl-01293450555.quantofattura.com/","contessa-elda-srl-01293450555.quantofattura.com")</f>
        <v>contessa-elda-srl-01293450555.quantofattura.com</v>
      </c>
      <c r="J141" s="12">
        <v>1570.5519999999999</v>
      </c>
      <c r="K141" s="12">
        <v>1570.5519999999999</v>
      </c>
      <c r="L141" s="12">
        <v>1391.577</v>
      </c>
      <c r="M141" s="12">
        <v>61.363999999999997</v>
      </c>
      <c r="N141" s="12">
        <v>61.363999999999997</v>
      </c>
      <c r="O141" s="12">
        <v>56.401000000000003</v>
      </c>
      <c r="P141" s="12">
        <v>15</v>
      </c>
      <c r="Q141" s="12">
        <v>15</v>
      </c>
      <c r="R141" s="12">
        <v>14</v>
      </c>
    </row>
    <row r="142" spans="1:18" ht="17" customHeight="1" x14ac:dyDescent="0.2">
      <c r="A142" s="5" t="s">
        <v>655</v>
      </c>
      <c r="B142" s="6" t="s">
        <v>656</v>
      </c>
      <c r="C142" s="5" t="s">
        <v>657</v>
      </c>
      <c r="D142" s="5" t="s">
        <v>657</v>
      </c>
      <c r="E142" s="5" t="s">
        <v>658</v>
      </c>
      <c r="F142" s="5" t="s">
        <v>114</v>
      </c>
      <c r="G142" s="5" t="s">
        <v>100</v>
      </c>
      <c r="H142" s="5" t="s">
        <v>62</v>
      </c>
      <c r="I142" s="5" t="str">
        <f>HYPERLINK("http://www.buyitalianstyle.com/","www.buyitalianstyle.com")</f>
        <v>www.buyitalianstyle.com</v>
      </c>
      <c r="J142" s="7">
        <v>1299.3920000000001</v>
      </c>
      <c r="K142" s="7">
        <v>1299.3920000000001</v>
      </c>
      <c r="L142" s="8">
        <v>1391.316</v>
      </c>
      <c r="M142" s="7">
        <v>-74.59</v>
      </c>
      <c r="N142" s="7">
        <v>-74.59</v>
      </c>
      <c r="O142" s="7">
        <v>9.7390000000000008</v>
      </c>
      <c r="P142" s="9" t="s">
        <v>24</v>
      </c>
      <c r="Q142" s="9" t="s">
        <v>24</v>
      </c>
      <c r="R142" s="7">
        <v>26</v>
      </c>
    </row>
    <row r="143" spans="1:18" ht="17" customHeight="1" x14ac:dyDescent="0.2">
      <c r="A143" s="10" t="s">
        <v>659</v>
      </c>
      <c r="B143" s="11" t="s">
        <v>660</v>
      </c>
      <c r="C143" s="10" t="s">
        <v>661</v>
      </c>
      <c r="D143" s="10" t="s">
        <v>661</v>
      </c>
      <c r="E143" s="10" t="s">
        <v>662</v>
      </c>
      <c r="F143" s="10" t="s">
        <v>48</v>
      </c>
      <c r="G143" s="10" t="s">
        <v>663</v>
      </c>
      <c r="H143" s="10" t="s">
        <v>299</v>
      </c>
      <c r="I143" s="10" t="str">
        <f>HYPERLINK("http://www.albertodiparma.com/","www.albertodiparma.com")</f>
        <v>www.albertodiparma.com</v>
      </c>
      <c r="J143" s="12">
        <v>1002.404</v>
      </c>
      <c r="K143" s="12">
        <v>1002.404</v>
      </c>
      <c r="L143" s="12">
        <v>1390.239</v>
      </c>
      <c r="M143" s="12">
        <v>2.5449999999999999</v>
      </c>
      <c r="N143" s="12">
        <v>2.5449999999999999</v>
      </c>
      <c r="O143" s="12">
        <v>149.84800000000001</v>
      </c>
      <c r="P143" s="12">
        <v>7</v>
      </c>
      <c r="Q143" s="12">
        <v>7</v>
      </c>
      <c r="R143" s="12">
        <v>7</v>
      </c>
    </row>
    <row r="144" spans="1:18" ht="17" customHeight="1" x14ac:dyDescent="0.2">
      <c r="A144" s="5" t="s">
        <v>664</v>
      </c>
      <c r="B144" s="6" t="s">
        <v>665</v>
      </c>
      <c r="C144" s="5" t="s">
        <v>666</v>
      </c>
      <c r="D144" s="5" t="s">
        <v>666</v>
      </c>
      <c r="E144" s="5" t="s">
        <v>667</v>
      </c>
      <c r="F144" s="5" t="s">
        <v>105</v>
      </c>
      <c r="G144" s="5" t="s">
        <v>308</v>
      </c>
      <c r="H144" s="5" t="s">
        <v>299</v>
      </c>
      <c r="I144" s="5" t="str">
        <f>HYPERLINK("http://www.virginiabizzi.com/","www.virginiabizzi.com")</f>
        <v>www.virginiabizzi.com</v>
      </c>
      <c r="J144" s="7">
        <v>1991.566</v>
      </c>
      <c r="K144" s="7">
        <v>1696.6849999999999</v>
      </c>
      <c r="L144" s="8">
        <v>1389.1790000000001</v>
      </c>
      <c r="M144" s="7">
        <v>22.277999999999999</v>
      </c>
      <c r="N144" s="7">
        <v>21.547999999999998</v>
      </c>
      <c r="O144" s="7">
        <v>20.582000000000001</v>
      </c>
      <c r="P144" s="7">
        <v>5</v>
      </c>
      <c r="Q144" s="7">
        <v>5</v>
      </c>
      <c r="R144" s="7">
        <v>5</v>
      </c>
    </row>
    <row r="145" spans="1:18" ht="17" customHeight="1" x14ac:dyDescent="0.2">
      <c r="A145" s="10" t="s">
        <v>668</v>
      </c>
      <c r="B145" s="11" t="s">
        <v>669</v>
      </c>
      <c r="C145" s="10" t="s">
        <v>670</v>
      </c>
      <c r="D145" s="10" t="s">
        <v>670</v>
      </c>
      <c r="E145" s="10" t="s">
        <v>671</v>
      </c>
      <c r="F145" s="10" t="s">
        <v>114</v>
      </c>
      <c r="G145" s="10" t="s">
        <v>135</v>
      </c>
      <c r="H145" s="10" t="s">
        <v>31</v>
      </c>
      <c r="I145" s="10" t="str">
        <f>HYPERLINK("http://www.antoniasrl.it/","www.antoniasrl.it")</f>
        <v>www.antoniasrl.it</v>
      </c>
      <c r="J145" s="12">
        <v>1190.4359999999999</v>
      </c>
      <c r="K145" s="12">
        <v>1623.7249999999999</v>
      </c>
      <c r="L145" s="12">
        <v>1384.5139999999999</v>
      </c>
      <c r="M145" s="12">
        <v>-344.09199999999998</v>
      </c>
      <c r="N145" s="12">
        <v>-829.66800000000001</v>
      </c>
      <c r="O145" s="12">
        <v>-453.70299999999997</v>
      </c>
      <c r="P145" s="13" t="s">
        <v>24</v>
      </c>
      <c r="Q145" s="13" t="s">
        <v>24</v>
      </c>
      <c r="R145" s="12">
        <v>45</v>
      </c>
    </row>
    <row r="146" spans="1:18" ht="17" customHeight="1" x14ac:dyDescent="0.2">
      <c r="A146" s="5" t="s">
        <v>672</v>
      </c>
      <c r="B146" s="6" t="s">
        <v>673</v>
      </c>
      <c r="C146" s="5" t="s">
        <v>674</v>
      </c>
      <c r="D146" s="5" t="s">
        <v>674</v>
      </c>
      <c r="E146" s="5" t="s">
        <v>675</v>
      </c>
      <c r="F146" s="5" t="s">
        <v>21</v>
      </c>
      <c r="G146" s="5" t="s">
        <v>676</v>
      </c>
      <c r="H146" s="5" t="s">
        <v>74</v>
      </c>
      <c r="I146" s="5" t="str">
        <f>HYPERLINK("http://www.maurishoes.com/","www.maurishoes.com")</f>
        <v>www.maurishoes.com</v>
      </c>
      <c r="J146" s="7">
        <v>1235.204</v>
      </c>
      <c r="K146" s="7">
        <v>1235.204</v>
      </c>
      <c r="L146" s="8">
        <v>1383.1120000000001</v>
      </c>
      <c r="M146" s="7">
        <v>11.279</v>
      </c>
      <c r="N146" s="7">
        <v>11.279</v>
      </c>
      <c r="O146" s="7">
        <v>12.824</v>
      </c>
      <c r="P146" s="7">
        <v>11</v>
      </c>
      <c r="Q146" s="7">
        <v>11</v>
      </c>
      <c r="R146" s="7">
        <v>11</v>
      </c>
    </row>
    <row r="147" spans="1:18" ht="17" customHeight="1" x14ac:dyDescent="0.2">
      <c r="A147" s="10" t="s">
        <v>677</v>
      </c>
      <c r="B147" s="11" t="s">
        <v>678</v>
      </c>
      <c r="C147" s="10" t="s">
        <v>679</v>
      </c>
      <c r="D147" s="10" t="s">
        <v>679</v>
      </c>
      <c r="E147" s="10" t="s">
        <v>680</v>
      </c>
      <c r="F147" s="10" t="s">
        <v>54</v>
      </c>
      <c r="G147" s="10" t="s">
        <v>79</v>
      </c>
      <c r="H147" s="10" t="s">
        <v>56</v>
      </c>
      <c r="I147" s="10" t="str">
        <f>HYPERLINK("http://www.starplastsnc.it/","www.starplastsnc.it")</f>
        <v>www.starplastsnc.it</v>
      </c>
      <c r="J147" s="12">
        <v>1381.586</v>
      </c>
      <c r="K147" s="13" t="s">
        <v>24</v>
      </c>
      <c r="L147" s="12">
        <v>1381.586</v>
      </c>
      <c r="M147" s="12">
        <v>29.462</v>
      </c>
      <c r="N147" s="13" t="s">
        <v>24</v>
      </c>
      <c r="O147" s="12">
        <v>29.462</v>
      </c>
      <c r="P147" s="12">
        <v>9</v>
      </c>
      <c r="Q147" s="13" t="s">
        <v>24</v>
      </c>
      <c r="R147" s="12">
        <v>9</v>
      </c>
    </row>
    <row r="148" spans="1:18" ht="17" customHeight="1" x14ac:dyDescent="0.2">
      <c r="A148" s="5" t="s">
        <v>681</v>
      </c>
      <c r="B148" s="6" t="s">
        <v>682</v>
      </c>
      <c r="C148" s="5" t="s">
        <v>683</v>
      </c>
      <c r="D148" s="5" t="s">
        <v>683</v>
      </c>
      <c r="E148" s="5" t="s">
        <v>684</v>
      </c>
      <c r="F148" s="5" t="s">
        <v>48</v>
      </c>
      <c r="G148" s="5" t="s">
        <v>224</v>
      </c>
      <c r="H148" s="5" t="s">
        <v>23</v>
      </c>
      <c r="I148" s="5" t="str">
        <f>HYPERLINK("http://www.kontessaccessori.it/","www.kontessaccessori.it")</f>
        <v>www.kontessaccessori.it</v>
      </c>
      <c r="J148" s="7">
        <v>1341.09</v>
      </c>
      <c r="K148" s="7">
        <v>1341.09</v>
      </c>
      <c r="L148" s="8">
        <v>1381.5450000000001</v>
      </c>
      <c r="M148" s="7">
        <v>10.371</v>
      </c>
      <c r="N148" s="7">
        <v>10.371</v>
      </c>
      <c r="O148" s="7">
        <v>15.566000000000001</v>
      </c>
      <c r="P148" s="7">
        <v>4</v>
      </c>
      <c r="Q148" s="7">
        <v>4</v>
      </c>
      <c r="R148" s="7">
        <v>10</v>
      </c>
    </row>
    <row r="149" spans="1:18" ht="17" customHeight="1" x14ac:dyDescent="0.2">
      <c r="A149" s="10" t="s">
        <v>685</v>
      </c>
      <c r="B149" s="11" t="s">
        <v>686</v>
      </c>
      <c r="C149" s="10" t="s">
        <v>687</v>
      </c>
      <c r="D149" s="10" t="s">
        <v>687</v>
      </c>
      <c r="E149" s="10" t="s">
        <v>688</v>
      </c>
      <c r="F149" s="10" t="s">
        <v>181</v>
      </c>
      <c r="G149" s="10" t="s">
        <v>298</v>
      </c>
      <c r="H149" s="10" t="s">
        <v>299</v>
      </c>
      <c r="I149" s="10" t="str">
        <f>HYPERLINK("http://www.ceciliabenetti.com/","www.ceciliabenetti.com")</f>
        <v>www.ceciliabenetti.com</v>
      </c>
      <c r="J149" s="12">
        <v>525.62</v>
      </c>
      <c r="K149" s="12">
        <v>525.62</v>
      </c>
      <c r="L149" s="12">
        <v>1379.7750000000001</v>
      </c>
      <c r="M149" s="12">
        <v>-216.76499999999999</v>
      </c>
      <c r="N149" s="12">
        <v>-216.76499999999999</v>
      </c>
      <c r="O149" s="12">
        <v>28.209</v>
      </c>
      <c r="P149" s="12">
        <v>4</v>
      </c>
      <c r="Q149" s="12">
        <v>4</v>
      </c>
      <c r="R149" s="12">
        <v>5</v>
      </c>
    </row>
    <row r="150" spans="1:18" ht="17" customHeight="1" x14ac:dyDescent="0.2">
      <c r="A150" s="5" t="s">
        <v>689</v>
      </c>
      <c r="B150" s="6" t="s">
        <v>690</v>
      </c>
      <c r="C150" s="5" t="s">
        <v>691</v>
      </c>
      <c r="D150" s="5" t="s">
        <v>691</v>
      </c>
      <c r="E150" s="5" t="s">
        <v>692</v>
      </c>
      <c r="F150" s="5" t="s">
        <v>114</v>
      </c>
      <c r="G150" s="5" t="s">
        <v>663</v>
      </c>
      <c r="H150" s="5" t="s">
        <v>299</v>
      </c>
      <c r="I150" s="5" t="str">
        <f>HYPERLINK("http://www.equipagepantaloni.com/","www.equipagepantaloni.com")</f>
        <v>www.equipagepantaloni.com</v>
      </c>
      <c r="J150" s="7">
        <v>1800.646</v>
      </c>
      <c r="K150" s="7">
        <v>1800.646</v>
      </c>
      <c r="L150" s="8">
        <v>1379.462</v>
      </c>
      <c r="M150" s="7">
        <v>60.514000000000003</v>
      </c>
      <c r="N150" s="7">
        <v>60.514000000000003</v>
      </c>
      <c r="O150" s="7">
        <v>28.997</v>
      </c>
      <c r="P150" s="7">
        <v>27</v>
      </c>
      <c r="Q150" s="7">
        <v>27</v>
      </c>
      <c r="R150" s="7">
        <v>27</v>
      </c>
    </row>
    <row r="151" spans="1:18" ht="17" customHeight="1" x14ac:dyDescent="0.2">
      <c r="A151" s="10" t="s">
        <v>693</v>
      </c>
      <c r="B151" s="11" t="s">
        <v>694</v>
      </c>
      <c r="C151" s="10" t="s">
        <v>695</v>
      </c>
      <c r="D151" s="10" t="s">
        <v>695</v>
      </c>
      <c r="E151" s="10" t="s">
        <v>696</v>
      </c>
      <c r="F151" s="10" t="s">
        <v>114</v>
      </c>
      <c r="G151" s="10" t="s">
        <v>298</v>
      </c>
      <c r="H151" s="10" t="s">
        <v>299</v>
      </c>
      <c r="I151" s="10" t="str">
        <f>HYPERLINK("http://www.moovesrl.it/","www.moovesrl.it")</f>
        <v>www.moovesrl.it</v>
      </c>
      <c r="J151" s="12">
        <v>1236.7280000000001</v>
      </c>
      <c r="K151" s="12">
        <v>1236.7280000000001</v>
      </c>
      <c r="L151" s="12">
        <v>1379.174</v>
      </c>
      <c r="M151" s="12">
        <v>0.72199999999999998</v>
      </c>
      <c r="N151" s="12">
        <v>0.72199999999999998</v>
      </c>
      <c r="O151" s="12">
        <v>1.1279999999999999</v>
      </c>
      <c r="P151" s="12">
        <v>9</v>
      </c>
      <c r="Q151" s="12">
        <v>9</v>
      </c>
      <c r="R151" s="12">
        <v>10</v>
      </c>
    </row>
    <row r="152" spans="1:18" ht="17" customHeight="1" x14ac:dyDescent="0.2">
      <c r="A152" s="5" t="s">
        <v>697</v>
      </c>
      <c r="B152" s="6" t="s">
        <v>698</v>
      </c>
      <c r="C152" s="5" t="s">
        <v>699</v>
      </c>
      <c r="D152" s="5" t="s">
        <v>699</v>
      </c>
      <c r="E152" s="5" t="s">
        <v>700</v>
      </c>
      <c r="F152" s="5" t="s">
        <v>105</v>
      </c>
      <c r="G152" s="5" t="s">
        <v>49</v>
      </c>
      <c r="H152" s="5" t="s">
        <v>23</v>
      </c>
      <c r="I152" s="5" t="str">
        <f>HYPERLINK("http://tallispa.com/","tallispa.com")</f>
        <v>tallispa.com</v>
      </c>
      <c r="J152" s="7">
        <v>649.41300000000001</v>
      </c>
      <c r="K152" s="7">
        <v>1055.481</v>
      </c>
      <c r="L152" s="8">
        <v>1378.4449999999999</v>
      </c>
      <c r="M152" s="7">
        <v>365.61399999999998</v>
      </c>
      <c r="N152" s="7">
        <v>-390.21600000000001</v>
      </c>
      <c r="O152" s="7">
        <v>11.757999999999999</v>
      </c>
      <c r="P152" s="9" t="s">
        <v>24</v>
      </c>
      <c r="Q152" s="9" t="s">
        <v>24</v>
      </c>
      <c r="R152" s="7">
        <v>11</v>
      </c>
    </row>
    <row r="153" spans="1:18" ht="17" customHeight="1" x14ac:dyDescent="0.2">
      <c r="A153" s="10" t="s">
        <v>701</v>
      </c>
      <c r="B153" s="11" t="s">
        <v>702</v>
      </c>
      <c r="C153" s="10" t="s">
        <v>703</v>
      </c>
      <c r="D153" s="10" t="s">
        <v>703</v>
      </c>
      <c r="E153" s="10" t="s">
        <v>704</v>
      </c>
      <c r="F153" s="10" t="s">
        <v>181</v>
      </c>
      <c r="G153" s="10" t="s">
        <v>42</v>
      </c>
      <c r="H153" s="10" t="s">
        <v>43</v>
      </c>
      <c r="I153" s="10" t="str">
        <f>HYPERLINK("http://www.info.brian.com/","www.info.brian.com")</f>
        <v>www.info.brian.com</v>
      </c>
      <c r="J153" s="12">
        <v>1133.2919999999999</v>
      </c>
      <c r="K153" s="12">
        <v>1133.2919999999999</v>
      </c>
      <c r="L153" s="12">
        <v>1377.078</v>
      </c>
      <c r="M153" s="12">
        <v>233.08099999999999</v>
      </c>
      <c r="N153" s="12">
        <v>233.08099999999999</v>
      </c>
      <c r="O153" s="12">
        <v>349.00400000000002</v>
      </c>
      <c r="P153" s="12">
        <v>13</v>
      </c>
      <c r="Q153" s="12">
        <v>13</v>
      </c>
      <c r="R153" s="12">
        <v>13</v>
      </c>
    </row>
    <row r="154" spans="1:18" ht="29.5" customHeight="1" x14ac:dyDescent="0.2">
      <c r="A154" s="5" t="s">
        <v>705</v>
      </c>
      <c r="B154" s="6" t="s">
        <v>706</v>
      </c>
      <c r="C154" s="5" t="s">
        <v>707</v>
      </c>
      <c r="D154" s="5" t="s">
        <v>707</v>
      </c>
      <c r="E154" s="5" t="s">
        <v>708</v>
      </c>
      <c r="F154" s="5" t="s">
        <v>54</v>
      </c>
      <c r="G154" s="5" t="s">
        <v>36</v>
      </c>
      <c r="H154" s="5" t="s">
        <v>23</v>
      </c>
      <c r="I154" s="5" t="str">
        <f>HYPERLINK("http://tomaificiolidis.it/","tomaificiolidis.it")</f>
        <v>tomaificiolidis.it</v>
      </c>
      <c r="J154" s="7">
        <v>1454.6559999999999</v>
      </c>
      <c r="K154" s="7">
        <v>1454.6559999999999</v>
      </c>
      <c r="L154" s="8">
        <v>1376.6179999999999</v>
      </c>
      <c r="M154" s="7">
        <v>8.0069999999999997</v>
      </c>
      <c r="N154" s="7">
        <v>8.0069999999999997</v>
      </c>
      <c r="O154" s="7">
        <v>-12.189</v>
      </c>
      <c r="P154" s="9" t="s">
        <v>24</v>
      </c>
      <c r="Q154" s="9" t="s">
        <v>24</v>
      </c>
      <c r="R154" s="7">
        <v>18</v>
      </c>
    </row>
    <row r="155" spans="1:18" ht="17" customHeight="1" x14ac:dyDescent="0.2">
      <c r="A155" s="10" t="s">
        <v>709</v>
      </c>
      <c r="B155" s="11" t="s">
        <v>710</v>
      </c>
      <c r="C155" s="10" t="s">
        <v>711</v>
      </c>
      <c r="D155" s="10" t="s">
        <v>711</v>
      </c>
      <c r="E155" s="10" t="s">
        <v>712</v>
      </c>
      <c r="F155" s="10" t="s">
        <v>181</v>
      </c>
      <c r="G155" s="10" t="s">
        <v>713</v>
      </c>
      <c r="H155" s="10" t="s">
        <v>299</v>
      </c>
      <c r="I155" s="10" t="str">
        <f>HYPERLINK("http://www.francescamercuriali.com/","www.francescamercuriali.com")</f>
        <v>www.francescamercuriali.com</v>
      </c>
      <c r="J155" s="12">
        <v>1263.471</v>
      </c>
      <c r="K155" s="12">
        <v>1263.471</v>
      </c>
      <c r="L155" s="12">
        <v>1375.7850000000001</v>
      </c>
      <c r="M155" s="12">
        <v>-53.457999999999998</v>
      </c>
      <c r="N155" s="12">
        <v>-53.457999999999998</v>
      </c>
      <c r="O155" s="12">
        <v>11.491</v>
      </c>
      <c r="P155" s="13" t="s">
        <v>24</v>
      </c>
      <c r="Q155" s="13" t="s">
        <v>24</v>
      </c>
      <c r="R155" s="12">
        <v>13</v>
      </c>
    </row>
    <row r="156" spans="1:18" ht="17" customHeight="1" x14ac:dyDescent="0.2">
      <c r="A156" s="5" t="s">
        <v>714</v>
      </c>
      <c r="B156" s="6" t="s">
        <v>715</v>
      </c>
      <c r="C156" s="5" t="s">
        <v>716</v>
      </c>
      <c r="D156" s="5" t="s">
        <v>716</v>
      </c>
      <c r="E156" s="5" t="s">
        <v>717</v>
      </c>
      <c r="F156" s="5" t="s">
        <v>114</v>
      </c>
      <c r="G156" s="5" t="s">
        <v>718</v>
      </c>
      <c r="H156" s="5" t="s">
        <v>31</v>
      </c>
      <c r="I156" s="5" t="str">
        <f>HYPERLINK("http://www.manuelaconti.com/","www.manuelaconti.com")</f>
        <v>www.manuelaconti.com</v>
      </c>
      <c r="J156" s="7">
        <v>1423.694</v>
      </c>
      <c r="K156" s="7">
        <v>1423.694</v>
      </c>
      <c r="L156" s="8">
        <v>1375.23</v>
      </c>
      <c r="M156" s="7">
        <v>10.686999999999999</v>
      </c>
      <c r="N156" s="7">
        <v>10.686999999999999</v>
      </c>
      <c r="O156" s="7">
        <v>6.9509999999999996</v>
      </c>
      <c r="P156" s="7">
        <v>9</v>
      </c>
      <c r="Q156" s="7">
        <v>9</v>
      </c>
      <c r="R156" s="7">
        <v>5</v>
      </c>
    </row>
    <row r="157" spans="1:18" ht="17" customHeight="1" x14ac:dyDescent="0.2">
      <c r="A157" s="10" t="s">
        <v>719</v>
      </c>
      <c r="B157" s="11" t="s">
        <v>720</v>
      </c>
      <c r="C157" s="10" t="s">
        <v>721</v>
      </c>
      <c r="D157" s="10" t="s">
        <v>722</v>
      </c>
      <c r="E157" s="10" t="s">
        <v>723</v>
      </c>
      <c r="F157" s="10" t="s">
        <v>325</v>
      </c>
      <c r="G157" s="10" t="s">
        <v>234</v>
      </c>
      <c r="H157" s="10" t="s">
        <v>23</v>
      </c>
      <c r="I157" s="10" t="str">
        <f>HYPERLINK("http://confezionibieffe.it/","confezionibieffe.it")</f>
        <v>confezionibieffe.it</v>
      </c>
      <c r="J157" s="12">
        <v>1693.3969999999999</v>
      </c>
      <c r="K157" s="12">
        <v>1693.3969999999999</v>
      </c>
      <c r="L157" s="12">
        <v>1374.809</v>
      </c>
      <c r="M157" s="12">
        <v>76.087000000000003</v>
      </c>
      <c r="N157" s="12">
        <v>76.087000000000003</v>
      </c>
      <c r="O157" s="12">
        <v>-4.1280000000000001</v>
      </c>
      <c r="P157" s="12">
        <v>7</v>
      </c>
      <c r="Q157" s="12">
        <v>7</v>
      </c>
      <c r="R157" s="12">
        <v>7</v>
      </c>
    </row>
    <row r="158" spans="1:18" ht="17" customHeight="1" x14ac:dyDescent="0.2">
      <c r="A158" s="5" t="s">
        <v>724</v>
      </c>
      <c r="B158" s="6" t="s">
        <v>725</v>
      </c>
      <c r="C158" s="5" t="s">
        <v>726</v>
      </c>
      <c r="D158" s="5" t="s">
        <v>726</v>
      </c>
      <c r="E158" s="5" t="s">
        <v>727</v>
      </c>
      <c r="F158" s="5" t="s">
        <v>99</v>
      </c>
      <c r="G158" s="5" t="s">
        <v>42</v>
      </c>
      <c r="H158" s="5" t="s">
        <v>43</v>
      </c>
      <c r="I158" s="5" t="str">
        <f>HYPERLINK("http://www.loifur.it/","www.loifur.it")</f>
        <v>www.loifur.it</v>
      </c>
      <c r="J158" s="7">
        <v>772.11500000000001</v>
      </c>
      <c r="K158" s="7">
        <v>772.11500000000001</v>
      </c>
      <c r="L158" s="8">
        <v>1374.597</v>
      </c>
      <c r="M158" s="7">
        <v>-18.478999999999999</v>
      </c>
      <c r="N158" s="7">
        <v>-18.478999999999999</v>
      </c>
      <c r="O158" s="7">
        <v>41.079000000000001</v>
      </c>
      <c r="P158" s="7">
        <v>10</v>
      </c>
      <c r="Q158" s="7">
        <v>10</v>
      </c>
      <c r="R158" s="7">
        <v>10</v>
      </c>
    </row>
    <row r="159" spans="1:18" ht="17" customHeight="1" x14ac:dyDescent="0.2">
      <c r="A159" s="10" t="s">
        <v>728</v>
      </c>
      <c r="B159" s="11" t="s">
        <v>729</v>
      </c>
      <c r="C159" s="10" t="s">
        <v>730</v>
      </c>
      <c r="D159" s="10" t="s">
        <v>730</v>
      </c>
      <c r="E159" s="10" t="s">
        <v>731</v>
      </c>
      <c r="F159" s="10" t="s">
        <v>41</v>
      </c>
      <c r="G159" s="10" t="s">
        <v>42</v>
      </c>
      <c r="H159" s="10" t="s">
        <v>43</v>
      </c>
      <c r="I159" s="10" t="str">
        <f>HYPERLINK("http://www.conceriadaniela.com/","www.conceriadaniela.com")</f>
        <v>www.conceriadaniela.com</v>
      </c>
      <c r="J159" s="12">
        <v>892.65</v>
      </c>
      <c r="K159" s="12">
        <v>892.65</v>
      </c>
      <c r="L159" s="12">
        <v>1374.249</v>
      </c>
      <c r="M159" s="12">
        <v>-7.242</v>
      </c>
      <c r="N159" s="12">
        <v>-7.242</v>
      </c>
      <c r="O159" s="12">
        <v>9.3309999999999995</v>
      </c>
      <c r="P159" s="12">
        <v>6</v>
      </c>
      <c r="Q159" s="12">
        <v>6</v>
      </c>
      <c r="R159" s="12">
        <v>7</v>
      </c>
    </row>
    <row r="160" spans="1:18" ht="17" customHeight="1" x14ac:dyDescent="0.2">
      <c r="A160" s="5" t="s">
        <v>732</v>
      </c>
      <c r="B160" s="6" t="s">
        <v>733</v>
      </c>
      <c r="C160" s="5" t="s">
        <v>734</v>
      </c>
      <c r="D160" s="5" t="s">
        <v>734</v>
      </c>
      <c r="E160" s="5" t="s">
        <v>735</v>
      </c>
      <c r="F160" s="5" t="s">
        <v>105</v>
      </c>
      <c r="G160" s="5" t="s">
        <v>552</v>
      </c>
      <c r="H160" s="5" t="s">
        <v>74</v>
      </c>
      <c r="I160" s="5" t="str">
        <f>HYPERLINK("http://brennaconfezioni.it/","brennaconfezioni.it")</f>
        <v>brennaconfezioni.it</v>
      </c>
      <c r="J160" s="7">
        <v>1557.816</v>
      </c>
      <c r="K160" s="7">
        <v>1557.816</v>
      </c>
      <c r="L160" s="8">
        <v>1373.5550000000001</v>
      </c>
      <c r="M160" s="7">
        <v>22.074999999999999</v>
      </c>
      <c r="N160" s="7">
        <v>22.074999999999999</v>
      </c>
      <c r="O160" s="7">
        <v>-62.171999999999997</v>
      </c>
      <c r="P160" s="7">
        <v>15</v>
      </c>
      <c r="Q160" s="7">
        <v>15</v>
      </c>
      <c r="R160" s="7">
        <v>13</v>
      </c>
    </row>
    <row r="161" spans="1:18" ht="17" customHeight="1" x14ac:dyDescent="0.2">
      <c r="A161" s="10" t="s">
        <v>736</v>
      </c>
      <c r="B161" s="11" t="s">
        <v>737</v>
      </c>
      <c r="C161" s="10" t="s">
        <v>738</v>
      </c>
      <c r="D161" s="10" t="s">
        <v>738</v>
      </c>
      <c r="E161" s="10" t="s">
        <v>739</v>
      </c>
      <c r="F161" s="10" t="s">
        <v>482</v>
      </c>
      <c r="G161" s="10" t="s">
        <v>718</v>
      </c>
      <c r="H161" s="10" t="s">
        <v>31</v>
      </c>
      <c r="I161" s="10" t="str">
        <f>HYPERLINK("http://www.carbottibags.com/","www.carbottibags.com")</f>
        <v>www.carbottibags.com</v>
      </c>
      <c r="J161" s="12">
        <v>1721.1849999999999</v>
      </c>
      <c r="K161" s="12">
        <v>1721.1849999999999</v>
      </c>
      <c r="L161" s="12">
        <v>1372.316</v>
      </c>
      <c r="M161" s="12">
        <v>299.97899999999998</v>
      </c>
      <c r="N161" s="12">
        <v>299.97899999999998</v>
      </c>
      <c r="O161" s="12">
        <v>271.36</v>
      </c>
      <c r="P161" s="13" t="s">
        <v>24</v>
      </c>
      <c r="Q161" s="13" t="s">
        <v>24</v>
      </c>
      <c r="R161" s="12">
        <v>13</v>
      </c>
    </row>
    <row r="162" spans="1:18" ht="17" customHeight="1" x14ac:dyDescent="0.2">
      <c r="A162" s="5" t="s">
        <v>740</v>
      </c>
      <c r="B162" s="6" t="s">
        <v>741</v>
      </c>
      <c r="C162" s="5" t="s">
        <v>742</v>
      </c>
      <c r="D162" s="5" t="s">
        <v>742</v>
      </c>
      <c r="E162" s="5" t="s">
        <v>743</v>
      </c>
      <c r="F162" s="5" t="s">
        <v>105</v>
      </c>
      <c r="G162" s="5" t="s">
        <v>211</v>
      </c>
      <c r="H162" s="5" t="s">
        <v>74</v>
      </c>
      <c r="I162" s="5" t="str">
        <f>HYPERLINK("http://gruppolm.com/","gruppolm.com")</f>
        <v>gruppolm.com</v>
      </c>
      <c r="J162" s="7">
        <v>1722.4770000000001</v>
      </c>
      <c r="K162" s="7">
        <v>1722.4770000000001</v>
      </c>
      <c r="L162" s="8">
        <v>1371.3440000000001</v>
      </c>
      <c r="M162" s="7">
        <v>12.215999999999999</v>
      </c>
      <c r="N162" s="7">
        <v>12.215999999999999</v>
      </c>
      <c r="O162" s="7">
        <v>5.2859999999999996</v>
      </c>
      <c r="P162" s="7">
        <v>10</v>
      </c>
      <c r="Q162" s="7">
        <v>10</v>
      </c>
      <c r="R162" s="7">
        <v>6</v>
      </c>
    </row>
    <row r="163" spans="1:18" ht="17" customHeight="1" x14ac:dyDescent="0.2">
      <c r="A163" s="10" t="s">
        <v>744</v>
      </c>
      <c r="B163" s="11" t="s">
        <v>745</v>
      </c>
      <c r="C163" s="10" t="s">
        <v>746</v>
      </c>
      <c r="D163" s="10" t="s">
        <v>746</v>
      </c>
      <c r="E163" s="10" t="s">
        <v>747</v>
      </c>
      <c r="F163" s="10" t="s">
        <v>48</v>
      </c>
      <c r="G163" s="10" t="s">
        <v>67</v>
      </c>
      <c r="H163" s="10" t="s">
        <v>43</v>
      </c>
      <c r="I163" s="10" t="str">
        <f>HYPERLINK("http://www.terrida.com/","www.terrida.com")</f>
        <v>www.terrida.com</v>
      </c>
      <c r="J163" s="12">
        <v>1067.51</v>
      </c>
      <c r="K163" s="12">
        <v>1067.51</v>
      </c>
      <c r="L163" s="12">
        <v>1370.5889999999999</v>
      </c>
      <c r="M163" s="12">
        <v>-165.172</v>
      </c>
      <c r="N163" s="12">
        <v>-165.172</v>
      </c>
      <c r="O163" s="12">
        <v>-104.152</v>
      </c>
      <c r="P163" s="12">
        <v>3</v>
      </c>
      <c r="Q163" s="12">
        <v>3</v>
      </c>
      <c r="R163" s="12">
        <v>5</v>
      </c>
    </row>
    <row r="164" spans="1:18" ht="17" customHeight="1" x14ac:dyDescent="0.2">
      <c r="A164" s="5" t="s">
        <v>748</v>
      </c>
      <c r="B164" s="6" t="s">
        <v>749</v>
      </c>
      <c r="C164" s="5" t="s">
        <v>750</v>
      </c>
      <c r="D164" s="5" t="s">
        <v>750</v>
      </c>
      <c r="E164" s="5" t="s">
        <v>751</v>
      </c>
      <c r="F164" s="5" t="s">
        <v>114</v>
      </c>
      <c r="G164" s="5" t="s">
        <v>718</v>
      </c>
      <c r="H164" s="5" t="s">
        <v>31</v>
      </c>
      <c r="I164" s="5" t="str">
        <f>HYPERLINK("http://www.palazzosartoriale.com/","www.palazzosartoriale.com")</f>
        <v>www.palazzosartoriale.com</v>
      </c>
      <c r="J164" s="7">
        <v>1547.3340000000001</v>
      </c>
      <c r="K164" s="7">
        <v>1547.3340000000001</v>
      </c>
      <c r="L164" s="8">
        <v>1370.5229999999999</v>
      </c>
      <c r="M164" s="7">
        <v>209.233</v>
      </c>
      <c r="N164" s="7">
        <v>209.233</v>
      </c>
      <c r="O164" s="7">
        <v>203.96899999999999</v>
      </c>
      <c r="P164" s="9" t="s">
        <v>24</v>
      </c>
      <c r="Q164" s="9" t="s">
        <v>24</v>
      </c>
      <c r="R164" s="7">
        <v>10</v>
      </c>
    </row>
    <row r="165" spans="1:18" ht="17" customHeight="1" x14ac:dyDescent="0.2">
      <c r="A165" s="10" t="s">
        <v>752</v>
      </c>
      <c r="B165" s="11" t="s">
        <v>753</v>
      </c>
      <c r="C165" s="10" t="s">
        <v>754</v>
      </c>
      <c r="D165" s="10" t="s">
        <v>754</v>
      </c>
      <c r="E165" s="10" t="s">
        <v>755</v>
      </c>
      <c r="F165" s="10" t="s">
        <v>114</v>
      </c>
      <c r="G165" s="10" t="s">
        <v>49</v>
      </c>
      <c r="H165" s="10" t="s">
        <v>23</v>
      </c>
      <c r="I165" s="10" t="str">
        <f>HYPERLINK("http://mdesign-firenze.com/","mdesign-firenze.com")</f>
        <v>mdesign-firenze.com</v>
      </c>
      <c r="J165" s="12">
        <v>941.70399999999995</v>
      </c>
      <c r="K165" s="12">
        <v>941.70399999999995</v>
      </c>
      <c r="L165" s="12">
        <v>1369.248</v>
      </c>
      <c r="M165" s="12">
        <v>-4.99</v>
      </c>
      <c r="N165" s="12">
        <v>-4.99</v>
      </c>
      <c r="O165" s="12">
        <v>35.296999999999997</v>
      </c>
      <c r="P165" s="13" t="s">
        <v>24</v>
      </c>
      <c r="Q165" s="13" t="s">
        <v>24</v>
      </c>
      <c r="R165" s="12">
        <v>0</v>
      </c>
    </row>
    <row r="166" spans="1:18" ht="17" customHeight="1" x14ac:dyDescent="0.2">
      <c r="A166" s="5" t="s">
        <v>756</v>
      </c>
      <c r="B166" s="6" t="s">
        <v>757</v>
      </c>
      <c r="C166" s="5" t="s">
        <v>758</v>
      </c>
      <c r="D166" s="5" t="s">
        <v>758</v>
      </c>
      <c r="E166" s="5" t="s">
        <v>759</v>
      </c>
      <c r="F166" s="5" t="s">
        <v>41</v>
      </c>
      <c r="G166" s="5" t="s">
        <v>42</v>
      </c>
      <c r="H166" s="5" t="s">
        <v>43</v>
      </c>
      <c r="I166" s="5" t="str">
        <f>HYPERLINK("http://www.prodital.biz/","www.prodital.biz")</f>
        <v>www.prodital.biz</v>
      </c>
      <c r="J166" s="7">
        <v>1491.441</v>
      </c>
      <c r="K166" s="7">
        <v>1491.441</v>
      </c>
      <c r="L166" s="8">
        <v>1365.0250000000001</v>
      </c>
      <c r="M166" s="7">
        <v>6.8529999999999998</v>
      </c>
      <c r="N166" s="7">
        <v>6.8529999999999998</v>
      </c>
      <c r="O166" s="7">
        <v>6.4720000000000004</v>
      </c>
      <c r="P166" s="7">
        <v>5</v>
      </c>
      <c r="Q166" s="7">
        <v>5</v>
      </c>
      <c r="R166" s="7">
        <v>6</v>
      </c>
    </row>
    <row r="167" spans="1:18" ht="17" customHeight="1" x14ac:dyDescent="0.2">
      <c r="A167" s="10" t="s">
        <v>760</v>
      </c>
      <c r="B167" s="11" t="s">
        <v>761</v>
      </c>
      <c r="C167" s="10" t="s">
        <v>762</v>
      </c>
      <c r="D167" s="10" t="s">
        <v>762</v>
      </c>
      <c r="E167" s="10" t="s">
        <v>763</v>
      </c>
      <c r="F167" s="10" t="s">
        <v>105</v>
      </c>
      <c r="G167" s="10" t="s">
        <v>36</v>
      </c>
      <c r="H167" s="10" t="s">
        <v>23</v>
      </c>
      <c r="I167" s="10" t="str">
        <f>HYPERLINK("http://www.kaleidosmoda.com/","www.kaleidosmoda.com")</f>
        <v>www.kaleidosmoda.com</v>
      </c>
      <c r="J167" s="12">
        <v>1297.44</v>
      </c>
      <c r="K167" s="12">
        <v>1297.44</v>
      </c>
      <c r="L167" s="12">
        <v>1364.6510000000001</v>
      </c>
      <c r="M167" s="12">
        <v>9.1850000000000005</v>
      </c>
      <c r="N167" s="12">
        <v>9.1850000000000005</v>
      </c>
      <c r="O167" s="12">
        <v>5.6669999999999998</v>
      </c>
      <c r="P167" s="13" t="s">
        <v>24</v>
      </c>
      <c r="Q167" s="13" t="s">
        <v>24</v>
      </c>
      <c r="R167" s="12">
        <v>4</v>
      </c>
    </row>
    <row r="168" spans="1:18" ht="17" customHeight="1" x14ac:dyDescent="0.2">
      <c r="A168" s="5" t="s">
        <v>764</v>
      </c>
      <c r="B168" s="6" t="s">
        <v>765</v>
      </c>
      <c r="C168" s="5" t="s">
        <v>766</v>
      </c>
      <c r="D168" s="5" t="s">
        <v>766</v>
      </c>
      <c r="E168" s="5" t="s">
        <v>767</v>
      </c>
      <c r="F168" s="5" t="s">
        <v>29</v>
      </c>
      <c r="G168" s="5" t="s">
        <v>94</v>
      </c>
      <c r="H168" s="5" t="s">
        <v>62</v>
      </c>
      <c r="I168" s="5" t="str">
        <f>HYPERLINK("http://www.blitzmoda.it/","www.blitzmoda.it")</f>
        <v>www.blitzmoda.it</v>
      </c>
      <c r="J168" s="7">
        <v>1966.1089999999999</v>
      </c>
      <c r="K168" s="7">
        <v>1966.1089999999999</v>
      </c>
      <c r="L168" s="8">
        <v>1362.838</v>
      </c>
      <c r="M168" s="7">
        <v>353.572</v>
      </c>
      <c r="N168" s="7">
        <v>353.572</v>
      </c>
      <c r="O168" s="7">
        <v>161.56200000000001</v>
      </c>
      <c r="P168" s="7">
        <v>9</v>
      </c>
      <c r="Q168" s="7">
        <v>9</v>
      </c>
      <c r="R168" s="7">
        <v>9</v>
      </c>
    </row>
    <row r="169" spans="1:18" ht="17" customHeight="1" x14ac:dyDescent="0.2">
      <c r="A169" s="10" t="s">
        <v>768</v>
      </c>
      <c r="B169" s="11" t="s">
        <v>769</v>
      </c>
      <c r="C169" s="10" t="s">
        <v>770</v>
      </c>
      <c r="D169" s="10" t="s">
        <v>770</v>
      </c>
      <c r="E169" s="10" t="s">
        <v>771</v>
      </c>
      <c r="F169" s="10" t="s">
        <v>181</v>
      </c>
      <c r="G169" s="10" t="s">
        <v>326</v>
      </c>
      <c r="H169" s="10" t="s">
        <v>299</v>
      </c>
      <c r="I169" s="10" t="str">
        <f>HYPERLINK("http://www.settefili.it/","www.settefili.it")</f>
        <v>www.settefili.it</v>
      </c>
      <c r="J169" s="12">
        <v>1451.472</v>
      </c>
      <c r="K169" s="12">
        <v>1451.472</v>
      </c>
      <c r="L169" s="12">
        <v>1362.8109999999999</v>
      </c>
      <c r="M169" s="12">
        <v>11.477</v>
      </c>
      <c r="N169" s="12">
        <v>11.477</v>
      </c>
      <c r="O169" s="12">
        <v>27.831</v>
      </c>
      <c r="P169" s="12">
        <v>12</v>
      </c>
      <c r="Q169" s="12">
        <v>12</v>
      </c>
      <c r="R169" s="12">
        <v>10</v>
      </c>
    </row>
    <row r="170" spans="1:18" ht="17" customHeight="1" x14ac:dyDescent="0.2">
      <c r="A170" s="5" t="s">
        <v>772</v>
      </c>
      <c r="B170" s="6" t="s">
        <v>773</v>
      </c>
      <c r="C170" s="5" t="s">
        <v>774</v>
      </c>
      <c r="D170" s="5" t="s">
        <v>775</v>
      </c>
      <c r="E170" s="5" t="s">
        <v>776</v>
      </c>
      <c r="F170" s="5" t="s">
        <v>29</v>
      </c>
      <c r="G170" s="5" t="s">
        <v>100</v>
      </c>
      <c r="H170" s="5" t="s">
        <v>62</v>
      </c>
      <c r="I170" s="5" t="str">
        <f>HYPERLINK("http://www.modacalvi.it/","www.modacalvi.it")</f>
        <v>www.modacalvi.it</v>
      </c>
      <c r="J170" s="7">
        <v>1449.213</v>
      </c>
      <c r="K170" s="7">
        <v>1449.213</v>
      </c>
      <c r="L170" s="8">
        <v>1361.598</v>
      </c>
      <c r="M170" s="7">
        <v>-447.91199999999998</v>
      </c>
      <c r="N170" s="7">
        <v>-447.91199999999998</v>
      </c>
      <c r="O170" s="7">
        <v>-159.34</v>
      </c>
      <c r="P170" s="9" t="s">
        <v>24</v>
      </c>
      <c r="Q170" s="9" t="s">
        <v>24</v>
      </c>
      <c r="R170" s="7">
        <v>2</v>
      </c>
    </row>
    <row r="171" spans="1:18" ht="17" customHeight="1" x14ac:dyDescent="0.2">
      <c r="A171" s="10" t="s">
        <v>777</v>
      </c>
      <c r="B171" s="11" t="s">
        <v>778</v>
      </c>
      <c r="C171" s="10" t="s">
        <v>779</v>
      </c>
      <c r="D171" s="10" t="s">
        <v>779</v>
      </c>
      <c r="E171" s="10" t="s">
        <v>780</v>
      </c>
      <c r="F171" s="10" t="s">
        <v>21</v>
      </c>
      <c r="G171" s="10" t="s">
        <v>100</v>
      </c>
      <c r="H171" s="10" t="s">
        <v>62</v>
      </c>
      <c r="I171" s="10" t="str">
        <f>HYPERLINK("http://larianna.it/","larianna.it")</f>
        <v>larianna.it</v>
      </c>
      <c r="J171" s="12">
        <v>1427.462</v>
      </c>
      <c r="K171" s="12">
        <v>1427.462</v>
      </c>
      <c r="L171" s="12">
        <v>1361.155</v>
      </c>
      <c r="M171" s="12">
        <v>60.499000000000002</v>
      </c>
      <c r="N171" s="12">
        <v>60.499000000000002</v>
      </c>
      <c r="O171" s="12">
        <v>34.46</v>
      </c>
      <c r="P171" s="12">
        <v>14</v>
      </c>
      <c r="Q171" s="12">
        <v>14</v>
      </c>
      <c r="R171" s="12">
        <v>14</v>
      </c>
    </row>
    <row r="172" spans="1:18" ht="29.5" customHeight="1" x14ac:dyDescent="0.2">
      <c r="A172" s="5" t="s">
        <v>781</v>
      </c>
      <c r="B172" s="6" t="s">
        <v>782</v>
      </c>
      <c r="C172" s="5" t="s">
        <v>783</v>
      </c>
      <c r="D172" s="5" t="s">
        <v>783</v>
      </c>
      <c r="E172" s="5" t="s">
        <v>784</v>
      </c>
      <c r="F172" s="5" t="s">
        <v>105</v>
      </c>
      <c r="G172" s="5" t="s">
        <v>100</v>
      </c>
      <c r="H172" s="5" t="s">
        <v>62</v>
      </c>
      <c r="I172" s="5" t="str">
        <f>HYPERLINK("http://dgdipalma.it/","dgdipalma.it")</f>
        <v>dgdipalma.it</v>
      </c>
      <c r="J172" s="7">
        <v>1234.643</v>
      </c>
      <c r="K172" s="7">
        <v>1234.643</v>
      </c>
      <c r="L172" s="8">
        <v>1360.923</v>
      </c>
      <c r="M172" s="7">
        <v>-14.548999999999999</v>
      </c>
      <c r="N172" s="7">
        <v>-14.548999999999999</v>
      </c>
      <c r="O172" s="7">
        <v>111.22</v>
      </c>
      <c r="P172" s="7">
        <v>3</v>
      </c>
      <c r="Q172" s="7">
        <v>3</v>
      </c>
      <c r="R172" s="7">
        <v>2</v>
      </c>
    </row>
    <row r="173" spans="1:18" ht="17" customHeight="1" x14ac:dyDescent="0.2">
      <c r="A173" s="10" t="s">
        <v>785</v>
      </c>
      <c r="B173" s="11" t="s">
        <v>786</v>
      </c>
      <c r="C173" s="10" t="s">
        <v>787</v>
      </c>
      <c r="D173" s="10" t="s">
        <v>787</v>
      </c>
      <c r="E173" s="10" t="s">
        <v>788</v>
      </c>
      <c r="F173" s="10" t="s">
        <v>149</v>
      </c>
      <c r="G173" s="10" t="s">
        <v>120</v>
      </c>
      <c r="H173" s="10" t="s">
        <v>121</v>
      </c>
      <c r="I173" s="10" t="str">
        <f>HYPERLINK("http://www.jberre.it/","www.jberre.it")</f>
        <v>www.jberre.it</v>
      </c>
      <c r="J173" s="12">
        <v>1643.9110000000001</v>
      </c>
      <c r="K173" s="12">
        <v>1643.9110000000001</v>
      </c>
      <c r="L173" s="12">
        <v>1360.777</v>
      </c>
      <c r="M173" s="12">
        <v>2.9</v>
      </c>
      <c r="N173" s="12">
        <v>2.9</v>
      </c>
      <c r="O173" s="12">
        <v>18.192</v>
      </c>
      <c r="P173" s="12">
        <v>4</v>
      </c>
      <c r="Q173" s="12">
        <v>4</v>
      </c>
      <c r="R173" s="12">
        <v>4</v>
      </c>
    </row>
    <row r="174" spans="1:18" ht="17" customHeight="1" x14ac:dyDescent="0.2">
      <c r="A174" s="5" t="s">
        <v>789</v>
      </c>
      <c r="B174" s="6" t="s">
        <v>790</v>
      </c>
      <c r="C174" s="5" t="s">
        <v>791</v>
      </c>
      <c r="D174" s="5" t="s">
        <v>791</v>
      </c>
      <c r="E174" s="5" t="s">
        <v>792</v>
      </c>
      <c r="F174" s="5" t="s">
        <v>29</v>
      </c>
      <c r="G174" s="5" t="s">
        <v>298</v>
      </c>
      <c r="H174" s="5" t="s">
        <v>299</v>
      </c>
      <c r="I174" s="5" t="str">
        <f>HYPERLINK("http://www.eleonoraamadei.com/","www.eleonoraamadei.com")</f>
        <v>www.eleonoraamadei.com</v>
      </c>
      <c r="J174" s="7">
        <v>1320.9949999999999</v>
      </c>
      <c r="K174" s="7">
        <v>1320.9949999999999</v>
      </c>
      <c r="L174" s="8">
        <v>1360.1510000000001</v>
      </c>
      <c r="M174" s="7">
        <v>6.2370000000000001</v>
      </c>
      <c r="N174" s="7">
        <v>6.2370000000000001</v>
      </c>
      <c r="O174" s="7">
        <v>4.1529999999999996</v>
      </c>
      <c r="P174" s="7">
        <v>5</v>
      </c>
      <c r="Q174" s="7">
        <v>5</v>
      </c>
      <c r="R174" s="7">
        <v>4</v>
      </c>
    </row>
    <row r="175" spans="1:18" ht="29.5" customHeight="1" x14ac:dyDescent="0.2">
      <c r="A175" s="10" t="s">
        <v>793</v>
      </c>
      <c r="B175" s="11" t="s">
        <v>794</v>
      </c>
      <c r="C175" s="10" t="s">
        <v>795</v>
      </c>
      <c r="D175" s="10" t="s">
        <v>795</v>
      </c>
      <c r="E175" s="10" t="s">
        <v>796</v>
      </c>
      <c r="F175" s="10" t="s">
        <v>29</v>
      </c>
      <c r="G175" s="10" t="s">
        <v>797</v>
      </c>
      <c r="H175" s="10" t="s">
        <v>299</v>
      </c>
      <c r="I175" s="10" t="str">
        <f>HYPERLINK("http://www.manifatturaceccarelli.com/","www.manifatturaceccarelli.com")</f>
        <v>www.manifatturaceccarelli.com</v>
      </c>
      <c r="J175" s="12">
        <v>3207.576</v>
      </c>
      <c r="K175" s="12">
        <v>3207.576</v>
      </c>
      <c r="L175" s="12">
        <v>1355.7550000000001</v>
      </c>
      <c r="M175" s="12">
        <v>739.37400000000002</v>
      </c>
      <c r="N175" s="12">
        <v>739.37400000000002</v>
      </c>
      <c r="O175" s="12">
        <v>409.53300000000002</v>
      </c>
      <c r="P175" s="12">
        <v>11</v>
      </c>
      <c r="Q175" s="12">
        <v>11</v>
      </c>
      <c r="R175" s="12">
        <v>11</v>
      </c>
    </row>
    <row r="176" spans="1:18" ht="55.75" customHeight="1" x14ac:dyDescent="0.2">
      <c r="A176" s="5" t="s">
        <v>798</v>
      </c>
      <c r="B176" s="6" t="s">
        <v>799</v>
      </c>
      <c r="C176" s="5" t="s">
        <v>800</v>
      </c>
      <c r="D176" s="5" t="s">
        <v>800</v>
      </c>
      <c r="E176" s="5" t="s">
        <v>801</v>
      </c>
      <c r="F176" s="5" t="s">
        <v>48</v>
      </c>
      <c r="G176" s="5" t="s">
        <v>503</v>
      </c>
      <c r="H176" s="5" t="s">
        <v>62</v>
      </c>
      <c r="I176" s="5" t="str">
        <f>HYPERLINK("http://pelletteriamarant.com/","pelletteriamarant.com")</f>
        <v>pelletteriamarant.com</v>
      </c>
      <c r="J176" s="7">
        <v>1420.193</v>
      </c>
      <c r="K176" s="7">
        <v>1420.193</v>
      </c>
      <c r="L176" s="8">
        <v>1355.2360000000001</v>
      </c>
      <c r="M176" s="7">
        <v>36.97</v>
      </c>
      <c r="N176" s="7">
        <v>36.97</v>
      </c>
      <c r="O176" s="7">
        <v>48.226999999999997</v>
      </c>
      <c r="P176" s="7">
        <v>8</v>
      </c>
      <c r="Q176" s="7">
        <v>8</v>
      </c>
      <c r="R176" s="7">
        <v>7</v>
      </c>
    </row>
    <row r="177" spans="1:18" ht="17" customHeight="1" x14ac:dyDescent="0.2">
      <c r="A177" s="10" t="s">
        <v>802</v>
      </c>
      <c r="B177" s="11" t="s">
        <v>803</v>
      </c>
      <c r="C177" s="10" t="s">
        <v>804</v>
      </c>
      <c r="D177" s="10" t="s">
        <v>804</v>
      </c>
      <c r="E177" s="10" t="s">
        <v>805</v>
      </c>
      <c r="F177" s="10" t="s">
        <v>462</v>
      </c>
      <c r="G177" s="10" t="s">
        <v>274</v>
      </c>
      <c r="H177" s="10" t="s">
        <v>31</v>
      </c>
      <c r="I177" s="10" t="str">
        <f>HYPERLINK("http://camiceriamira.it/","camiceriamira.it")</f>
        <v>camiceriamira.it</v>
      </c>
      <c r="J177" s="12">
        <v>1745.028</v>
      </c>
      <c r="K177" s="12">
        <v>1745.028</v>
      </c>
      <c r="L177" s="12">
        <v>1354.9280000000001</v>
      </c>
      <c r="M177" s="12">
        <v>27.855</v>
      </c>
      <c r="N177" s="12">
        <v>27.855</v>
      </c>
      <c r="O177" s="12">
        <v>70.599999999999994</v>
      </c>
      <c r="P177" s="13" t="s">
        <v>24</v>
      </c>
      <c r="Q177" s="13" t="s">
        <v>24</v>
      </c>
      <c r="R177" s="12">
        <v>4</v>
      </c>
    </row>
    <row r="178" spans="1:18" ht="29.5" customHeight="1" x14ac:dyDescent="0.2">
      <c r="A178" s="5" t="s">
        <v>806</v>
      </c>
      <c r="B178" s="6" t="s">
        <v>807</v>
      </c>
      <c r="C178" s="5" t="s">
        <v>808</v>
      </c>
      <c r="D178" s="5" t="s">
        <v>808</v>
      </c>
      <c r="E178" s="5" t="s">
        <v>809</v>
      </c>
      <c r="F178" s="5" t="s">
        <v>29</v>
      </c>
      <c r="G178" s="5" t="s">
        <v>810</v>
      </c>
      <c r="H178" s="5" t="s">
        <v>121</v>
      </c>
      <c r="I178" s="5" t="str">
        <f>HYPERLINK("http://www.border-line.org/","www.border-line.org")</f>
        <v>www.border-line.org</v>
      </c>
      <c r="J178" s="7">
        <v>1318.828</v>
      </c>
      <c r="K178" s="7">
        <v>1318.828</v>
      </c>
      <c r="L178" s="8">
        <v>1354.663</v>
      </c>
      <c r="M178" s="7">
        <v>55.098999999999997</v>
      </c>
      <c r="N178" s="7">
        <v>55.098999999999997</v>
      </c>
      <c r="O178" s="7">
        <v>44.009</v>
      </c>
      <c r="P178" s="9" t="s">
        <v>24</v>
      </c>
      <c r="Q178" s="9" t="s">
        <v>24</v>
      </c>
      <c r="R178" s="7">
        <v>21</v>
      </c>
    </row>
    <row r="179" spans="1:18" ht="17" customHeight="1" x14ac:dyDescent="0.2">
      <c r="A179" s="10" t="s">
        <v>811</v>
      </c>
      <c r="B179" s="11" t="s">
        <v>812</v>
      </c>
      <c r="C179" s="10" t="s">
        <v>813</v>
      </c>
      <c r="D179" s="10" t="s">
        <v>813</v>
      </c>
      <c r="E179" s="10" t="s">
        <v>814</v>
      </c>
      <c r="F179" s="10" t="s">
        <v>41</v>
      </c>
      <c r="G179" s="10" t="s">
        <v>100</v>
      </c>
      <c r="H179" s="10" t="s">
        <v>62</v>
      </c>
      <c r="I179" s="10" t="str">
        <f>HYPERLINK("http://www.oscipellami.it/","www.oscipellami.it")</f>
        <v>www.oscipellami.it</v>
      </c>
      <c r="J179" s="12">
        <v>1126.6679999999999</v>
      </c>
      <c r="K179" s="12">
        <v>1126.6679999999999</v>
      </c>
      <c r="L179" s="12">
        <v>1354.41</v>
      </c>
      <c r="M179" s="12">
        <v>42.735999999999997</v>
      </c>
      <c r="N179" s="12">
        <v>42.735999999999997</v>
      </c>
      <c r="O179" s="12">
        <v>138.13800000000001</v>
      </c>
      <c r="P179" s="13" t="s">
        <v>24</v>
      </c>
      <c r="Q179" s="13" t="s">
        <v>24</v>
      </c>
      <c r="R179" s="12">
        <v>4</v>
      </c>
    </row>
    <row r="180" spans="1:18" ht="17" customHeight="1" x14ac:dyDescent="0.2">
      <c r="A180" s="5" t="s">
        <v>815</v>
      </c>
      <c r="B180" s="6" t="s">
        <v>816</v>
      </c>
      <c r="C180" s="5" t="s">
        <v>817</v>
      </c>
      <c r="D180" s="5" t="s">
        <v>817</v>
      </c>
      <c r="E180" s="5" t="s">
        <v>818</v>
      </c>
      <c r="F180" s="5" t="s">
        <v>54</v>
      </c>
      <c r="G180" s="5" t="s">
        <v>100</v>
      </c>
      <c r="H180" s="5" t="s">
        <v>62</v>
      </c>
      <c r="I180" s="5" t="str">
        <f>HYPERLINK("http://www.gianmarcof.it/","www.gianmarcof.it")</f>
        <v>www.gianmarcof.it</v>
      </c>
      <c r="J180" s="7">
        <v>1571.828</v>
      </c>
      <c r="K180" s="7">
        <v>1571.828</v>
      </c>
      <c r="L180" s="8">
        <v>1354.2529999999999</v>
      </c>
      <c r="M180" s="7">
        <v>70.507999999999996</v>
      </c>
      <c r="N180" s="7">
        <v>70.507999999999996</v>
      </c>
      <c r="O180" s="7">
        <v>27.56</v>
      </c>
      <c r="P180" s="9" t="s">
        <v>24</v>
      </c>
      <c r="Q180" s="9" t="s">
        <v>24</v>
      </c>
      <c r="R180" s="7">
        <v>4</v>
      </c>
    </row>
    <row r="181" spans="1:18" ht="55.75" customHeight="1" x14ac:dyDescent="0.2">
      <c r="A181" s="10" t="s">
        <v>819</v>
      </c>
      <c r="B181" s="11" t="s">
        <v>820</v>
      </c>
      <c r="C181" s="10" t="s">
        <v>821</v>
      </c>
      <c r="D181" s="10" t="s">
        <v>821</v>
      </c>
      <c r="E181" s="10" t="s">
        <v>822</v>
      </c>
      <c r="F181" s="10" t="s">
        <v>21</v>
      </c>
      <c r="G181" s="10" t="s">
        <v>79</v>
      </c>
      <c r="H181" s="10" t="s">
        <v>56</v>
      </c>
      <c r="I181" s="10" t="str">
        <f>HYPERLINK("http://www.renzoni.net/","www.renzoni.net")</f>
        <v>www.renzoni.net</v>
      </c>
      <c r="J181" s="12">
        <v>1736.3620000000001</v>
      </c>
      <c r="K181" s="12">
        <v>1736.3620000000001</v>
      </c>
      <c r="L181" s="12">
        <v>1352.788</v>
      </c>
      <c r="M181" s="12">
        <v>17.855</v>
      </c>
      <c r="N181" s="12">
        <v>17.855</v>
      </c>
      <c r="O181" s="12">
        <v>7.6790000000000003</v>
      </c>
      <c r="P181" s="12">
        <v>2</v>
      </c>
      <c r="Q181" s="12">
        <v>2</v>
      </c>
      <c r="R181" s="12">
        <v>2</v>
      </c>
    </row>
    <row r="182" spans="1:18" ht="17" customHeight="1" x14ac:dyDescent="0.2">
      <c r="A182" s="5" t="s">
        <v>823</v>
      </c>
      <c r="B182" s="6" t="s">
        <v>824</v>
      </c>
      <c r="C182" s="5" t="s">
        <v>825</v>
      </c>
      <c r="D182" s="5" t="s">
        <v>825</v>
      </c>
      <c r="E182" s="5" t="s">
        <v>826</v>
      </c>
      <c r="F182" s="5" t="s">
        <v>21</v>
      </c>
      <c r="G182" s="5" t="s">
        <v>79</v>
      </c>
      <c r="H182" s="5" t="s">
        <v>56</v>
      </c>
      <c r="I182" s="5" t="str">
        <f>HYPERLINK("http://www.exa-srl.it/","www.exa-srl.it")</f>
        <v>www.exa-srl.it</v>
      </c>
      <c r="J182" s="7">
        <v>1329.8440000000001</v>
      </c>
      <c r="K182" s="7">
        <v>1329.8440000000001</v>
      </c>
      <c r="L182" s="8">
        <v>1352.194</v>
      </c>
      <c r="M182" s="7">
        <v>-2.4870000000000001</v>
      </c>
      <c r="N182" s="7">
        <v>-2.4870000000000001</v>
      </c>
      <c r="O182" s="7">
        <v>7.306</v>
      </c>
      <c r="P182" s="7">
        <v>25</v>
      </c>
      <c r="Q182" s="7">
        <v>25</v>
      </c>
      <c r="R182" s="7">
        <v>24</v>
      </c>
    </row>
    <row r="183" spans="1:18" ht="17" customHeight="1" x14ac:dyDescent="0.2">
      <c r="A183" s="10" t="s">
        <v>827</v>
      </c>
      <c r="B183" s="11" t="s">
        <v>828</v>
      </c>
      <c r="C183" s="10" t="s">
        <v>829</v>
      </c>
      <c r="D183" s="10" t="s">
        <v>829</v>
      </c>
      <c r="E183" s="10" t="s">
        <v>830</v>
      </c>
      <c r="F183" s="10" t="s">
        <v>21</v>
      </c>
      <c r="G183" s="10" t="s">
        <v>79</v>
      </c>
      <c r="H183" s="10" t="s">
        <v>56</v>
      </c>
      <c r="I183" s="10" t="str">
        <f>HYPERLINK("http://www.robertomorellisrl.it/","www.robertomorellisrl.it")</f>
        <v>www.robertomorellisrl.it</v>
      </c>
      <c r="J183" s="12">
        <v>1596.2370000000001</v>
      </c>
      <c r="K183" s="12">
        <v>1596.2370000000001</v>
      </c>
      <c r="L183" s="12">
        <v>1351.7529999999999</v>
      </c>
      <c r="M183" s="12">
        <v>6.4219999999999997</v>
      </c>
      <c r="N183" s="12">
        <v>6.4219999999999997</v>
      </c>
      <c r="O183" s="12">
        <v>6.9850000000000003</v>
      </c>
      <c r="P183" s="12">
        <v>6</v>
      </c>
      <c r="Q183" s="12">
        <v>6</v>
      </c>
      <c r="R183" s="12">
        <v>5</v>
      </c>
    </row>
    <row r="184" spans="1:18" ht="17" customHeight="1" x14ac:dyDescent="0.2">
      <c r="A184" s="5" t="s">
        <v>831</v>
      </c>
      <c r="B184" s="6" t="s">
        <v>832</v>
      </c>
      <c r="C184" s="5" t="s">
        <v>833</v>
      </c>
      <c r="D184" s="5" t="s">
        <v>833</v>
      </c>
      <c r="E184" s="5" t="s">
        <v>834</v>
      </c>
      <c r="F184" s="5" t="s">
        <v>48</v>
      </c>
      <c r="G184" s="5" t="s">
        <v>437</v>
      </c>
      <c r="H184" s="5" t="s">
        <v>407</v>
      </c>
      <c r="I184" s="5" t="str">
        <f>HYPERLINK("http://pomme.it/","pomme.it")</f>
        <v>pomme.it</v>
      </c>
      <c r="J184" s="7">
        <v>1371.607</v>
      </c>
      <c r="K184" s="7">
        <v>1371.607</v>
      </c>
      <c r="L184" s="8">
        <v>1351.2159999999999</v>
      </c>
      <c r="M184" s="7">
        <v>-511.84100000000001</v>
      </c>
      <c r="N184" s="7">
        <v>-511.84100000000001</v>
      </c>
      <c r="O184" s="7">
        <v>-285.55700000000002</v>
      </c>
      <c r="P184" s="7">
        <v>33</v>
      </c>
      <c r="Q184" s="7">
        <v>33</v>
      </c>
      <c r="R184" s="7">
        <v>39</v>
      </c>
    </row>
    <row r="185" spans="1:18" ht="17" customHeight="1" x14ac:dyDescent="0.2">
      <c r="A185" s="10" t="s">
        <v>835</v>
      </c>
      <c r="B185" s="11" t="s">
        <v>836</v>
      </c>
      <c r="C185" s="10" t="s">
        <v>837</v>
      </c>
      <c r="D185" s="10" t="s">
        <v>837</v>
      </c>
      <c r="E185" s="10" t="s">
        <v>838</v>
      </c>
      <c r="F185" s="10" t="s">
        <v>114</v>
      </c>
      <c r="G185" s="10" t="s">
        <v>135</v>
      </c>
      <c r="H185" s="10" t="s">
        <v>31</v>
      </c>
      <c r="I185" s="10" t="str">
        <f>HYPERLINK("http://www.gdslab.it/","www.gdslab.it")</f>
        <v>www.gdslab.it</v>
      </c>
      <c r="J185" s="12">
        <v>1404.009</v>
      </c>
      <c r="K185" s="12">
        <v>1404.009</v>
      </c>
      <c r="L185" s="12">
        <v>1349.28</v>
      </c>
      <c r="M185" s="12">
        <v>18.535</v>
      </c>
      <c r="N185" s="12">
        <v>18.535</v>
      </c>
      <c r="O185" s="12">
        <v>14.471</v>
      </c>
      <c r="P185" s="13" t="s">
        <v>24</v>
      </c>
      <c r="Q185" s="13" t="s">
        <v>24</v>
      </c>
      <c r="R185" s="12">
        <v>16</v>
      </c>
    </row>
    <row r="186" spans="1:18" ht="17" customHeight="1" x14ac:dyDescent="0.2">
      <c r="A186" s="5" t="s">
        <v>839</v>
      </c>
      <c r="B186" s="6" t="s">
        <v>840</v>
      </c>
      <c r="C186" s="5" t="s">
        <v>841</v>
      </c>
      <c r="D186" s="5" t="s">
        <v>841</v>
      </c>
      <c r="E186" s="5" t="s">
        <v>842</v>
      </c>
      <c r="F186" s="5" t="s">
        <v>72</v>
      </c>
      <c r="G186" s="5" t="s">
        <v>843</v>
      </c>
      <c r="H186" s="5" t="s">
        <v>299</v>
      </c>
      <c r="I186" s="5" t="str">
        <f>HYPERLINK("http://www.girardi.net/","www.girardi.net")</f>
        <v>www.girardi.net</v>
      </c>
      <c r="J186" s="7">
        <v>1342.712</v>
      </c>
      <c r="K186" s="7">
        <v>1342.712</v>
      </c>
      <c r="L186" s="8">
        <v>1348.56</v>
      </c>
      <c r="M186" s="7">
        <v>-41.365000000000002</v>
      </c>
      <c r="N186" s="7">
        <v>-41.365000000000002</v>
      </c>
      <c r="O186" s="7">
        <v>-87.007000000000005</v>
      </c>
      <c r="P186" s="7">
        <v>12</v>
      </c>
      <c r="Q186" s="7">
        <v>12</v>
      </c>
      <c r="R186" s="7">
        <v>12</v>
      </c>
    </row>
    <row r="187" spans="1:18" ht="29.5" customHeight="1" x14ac:dyDescent="0.2">
      <c r="A187" s="10" t="s">
        <v>844</v>
      </c>
      <c r="B187" s="11" t="s">
        <v>845</v>
      </c>
      <c r="C187" s="10" t="s">
        <v>846</v>
      </c>
      <c r="D187" s="10" t="s">
        <v>846</v>
      </c>
      <c r="E187" s="10" t="s">
        <v>847</v>
      </c>
      <c r="F187" s="10" t="s">
        <v>41</v>
      </c>
      <c r="G187" s="10" t="s">
        <v>42</v>
      </c>
      <c r="H187" s="10" t="s">
        <v>43</v>
      </c>
      <c r="I187" s="10" t="str">
        <f>HYPERLINK("http://www.conceriabertoldi.com/","http://www.conceriabertoldi.com")</f>
        <v>http://www.conceriabertoldi.com</v>
      </c>
      <c r="J187" s="12">
        <v>1563.527</v>
      </c>
      <c r="K187" s="12">
        <v>1563.527</v>
      </c>
      <c r="L187" s="12">
        <v>1346.759</v>
      </c>
      <c r="M187" s="12">
        <v>42.652000000000001</v>
      </c>
      <c r="N187" s="12">
        <v>42.652000000000001</v>
      </c>
      <c r="O187" s="12">
        <v>64.5</v>
      </c>
      <c r="P187" s="12">
        <v>2</v>
      </c>
      <c r="Q187" s="12">
        <v>2</v>
      </c>
      <c r="R187" s="12">
        <v>2</v>
      </c>
    </row>
    <row r="188" spans="1:18" ht="17" customHeight="1" x14ac:dyDescent="0.2">
      <c r="A188" s="5" t="s">
        <v>848</v>
      </c>
      <c r="B188" s="6" t="s">
        <v>849</v>
      </c>
      <c r="C188" s="5" t="s">
        <v>850</v>
      </c>
      <c r="D188" s="5" t="s">
        <v>850</v>
      </c>
      <c r="E188" s="5" t="s">
        <v>851</v>
      </c>
      <c r="F188" s="5" t="s">
        <v>48</v>
      </c>
      <c r="G188" s="5" t="s">
        <v>190</v>
      </c>
      <c r="H188" s="5" t="s">
        <v>74</v>
      </c>
      <c r="I188" s="5" t="str">
        <f>HYPERLINK("http://ggconfezioni.com/","ggconfezioni.com")</f>
        <v>ggconfezioni.com</v>
      </c>
      <c r="J188" s="7">
        <v>1148.422</v>
      </c>
      <c r="K188" s="7">
        <v>1148.422</v>
      </c>
      <c r="L188" s="8">
        <v>1346.528</v>
      </c>
      <c r="M188" s="7">
        <v>40.630000000000003</v>
      </c>
      <c r="N188" s="7">
        <v>40.630000000000003</v>
      </c>
      <c r="O188" s="7">
        <v>35.277000000000001</v>
      </c>
      <c r="P188" s="7">
        <v>5</v>
      </c>
      <c r="Q188" s="7">
        <v>5</v>
      </c>
      <c r="R188" s="7">
        <v>5</v>
      </c>
    </row>
    <row r="189" spans="1:18" ht="17" customHeight="1" x14ac:dyDescent="0.2">
      <c r="A189" s="10" t="s">
        <v>852</v>
      </c>
      <c r="B189" s="11" t="s">
        <v>853</v>
      </c>
      <c r="C189" s="10" t="s">
        <v>854</v>
      </c>
      <c r="D189" s="10" t="s">
        <v>854</v>
      </c>
      <c r="E189" s="10" t="s">
        <v>855</v>
      </c>
      <c r="F189" s="10" t="s">
        <v>21</v>
      </c>
      <c r="G189" s="10" t="s">
        <v>79</v>
      </c>
      <c r="H189" s="10" t="s">
        <v>56</v>
      </c>
      <c r="I189" s="10" t="str">
        <f>HYPERLINK("http://www.inlinesrl.it/","www.inlinesrl.it")</f>
        <v>www.inlinesrl.it</v>
      </c>
      <c r="J189" s="12">
        <v>1590.076</v>
      </c>
      <c r="K189" s="12">
        <v>1590.076</v>
      </c>
      <c r="L189" s="12">
        <v>1346.259</v>
      </c>
      <c r="M189" s="12">
        <v>111.26600000000001</v>
      </c>
      <c r="N189" s="12">
        <v>111.26600000000001</v>
      </c>
      <c r="O189" s="12">
        <v>64.497</v>
      </c>
      <c r="P189" s="12">
        <v>9</v>
      </c>
      <c r="Q189" s="12">
        <v>9</v>
      </c>
      <c r="R189" s="12">
        <v>4</v>
      </c>
    </row>
    <row r="190" spans="1:18" ht="17" customHeight="1" x14ac:dyDescent="0.2">
      <c r="A190" s="5" t="s">
        <v>856</v>
      </c>
      <c r="B190" s="6" t="s">
        <v>857</v>
      </c>
      <c r="C190" s="5" t="s">
        <v>858</v>
      </c>
      <c r="D190" s="5" t="s">
        <v>858</v>
      </c>
      <c r="E190" s="5" t="s">
        <v>859</v>
      </c>
      <c r="F190" s="5" t="s">
        <v>860</v>
      </c>
      <c r="G190" s="5" t="s">
        <v>115</v>
      </c>
      <c r="H190" s="5" t="s">
        <v>43</v>
      </c>
      <c r="I190" s="5" t="str">
        <f>HYPERLINK("http://www.pellicceriaarcella.it/","www.pellicceriaarcella.it")</f>
        <v>www.pellicceriaarcella.it</v>
      </c>
      <c r="J190" s="7">
        <v>1556.9870000000001</v>
      </c>
      <c r="K190" s="7">
        <v>1556.9870000000001</v>
      </c>
      <c r="L190" s="8">
        <v>1343.4870000000001</v>
      </c>
      <c r="M190" s="7">
        <v>51.506</v>
      </c>
      <c r="N190" s="7">
        <v>51.506</v>
      </c>
      <c r="O190" s="7">
        <v>22.023</v>
      </c>
      <c r="P190" s="9" t="s">
        <v>24</v>
      </c>
      <c r="Q190" s="9" t="s">
        <v>24</v>
      </c>
      <c r="R190" s="7">
        <v>5</v>
      </c>
    </row>
    <row r="191" spans="1:18" ht="17" customHeight="1" x14ac:dyDescent="0.2">
      <c r="A191" s="10" t="s">
        <v>861</v>
      </c>
      <c r="B191" s="11" t="s">
        <v>862</v>
      </c>
      <c r="C191" s="10" t="s">
        <v>863</v>
      </c>
      <c r="D191" s="10" t="s">
        <v>863</v>
      </c>
      <c r="E191" s="10" t="s">
        <v>864</v>
      </c>
      <c r="F191" s="10" t="s">
        <v>41</v>
      </c>
      <c r="G191" s="10" t="s">
        <v>224</v>
      </c>
      <c r="H191" s="10" t="s">
        <v>23</v>
      </c>
      <c r="I191" s="10" t="str">
        <f>HYPERLINK("http://www.conceria-alpaca.it/","www.conceria-alpaca.it")</f>
        <v>www.conceria-alpaca.it</v>
      </c>
      <c r="J191" s="12">
        <v>1378.3119999999999</v>
      </c>
      <c r="K191" s="12">
        <v>1378.3119999999999</v>
      </c>
      <c r="L191" s="12">
        <v>1343.2049999999999</v>
      </c>
      <c r="M191" s="12">
        <v>37.045999999999999</v>
      </c>
      <c r="N191" s="12">
        <v>37.045999999999999</v>
      </c>
      <c r="O191" s="12">
        <v>23.939</v>
      </c>
      <c r="P191" s="12">
        <v>3</v>
      </c>
      <c r="Q191" s="12">
        <v>3</v>
      </c>
      <c r="R191" s="12">
        <v>3</v>
      </c>
    </row>
    <row r="192" spans="1:18" ht="29.5" customHeight="1" x14ac:dyDescent="0.2">
      <c r="A192" s="5" t="s">
        <v>865</v>
      </c>
      <c r="B192" s="6" t="s">
        <v>866</v>
      </c>
      <c r="C192" s="5" t="s">
        <v>867</v>
      </c>
      <c r="D192" s="5" t="s">
        <v>867</v>
      </c>
      <c r="E192" s="5" t="s">
        <v>868</v>
      </c>
      <c r="F192" s="5" t="s">
        <v>21</v>
      </c>
      <c r="G192" s="5" t="s">
        <v>61</v>
      </c>
      <c r="H192" s="5" t="s">
        <v>62</v>
      </c>
      <c r="I192" s="5" t="str">
        <f>HYPERLINK("http://clcalzaturificio.it/","clcalzaturificio.it")</f>
        <v>clcalzaturificio.it</v>
      </c>
      <c r="J192" s="7">
        <v>1374.921</v>
      </c>
      <c r="K192" s="7">
        <v>1374.921</v>
      </c>
      <c r="L192" s="8">
        <v>1342.7170000000001</v>
      </c>
      <c r="M192" s="7">
        <v>130.09</v>
      </c>
      <c r="N192" s="7">
        <v>130.09</v>
      </c>
      <c r="O192" s="7">
        <v>9.157</v>
      </c>
      <c r="P192" s="9" t="s">
        <v>24</v>
      </c>
      <c r="Q192" s="9" t="s">
        <v>24</v>
      </c>
      <c r="R192" s="7">
        <v>15</v>
      </c>
    </row>
    <row r="193" spans="1:18" ht="17" customHeight="1" x14ac:dyDescent="0.2">
      <c r="A193" s="10" t="s">
        <v>869</v>
      </c>
      <c r="B193" s="11" t="s">
        <v>870</v>
      </c>
      <c r="C193" s="10" t="s">
        <v>871</v>
      </c>
      <c r="D193" s="10" t="s">
        <v>871</v>
      </c>
      <c r="E193" s="10" t="s">
        <v>872</v>
      </c>
      <c r="F193" s="10" t="s">
        <v>21</v>
      </c>
      <c r="G193" s="10" t="s">
        <v>22</v>
      </c>
      <c r="H193" s="10" t="s">
        <v>23</v>
      </c>
      <c r="I193" s="10" t="str">
        <f>HYPERLINK("http://www.lereginedelforte.com/","www.lereginedelforte.com")</f>
        <v>www.lereginedelforte.com</v>
      </c>
      <c r="J193" s="12">
        <v>1749.2070000000001</v>
      </c>
      <c r="K193" s="12">
        <v>1749.2070000000001</v>
      </c>
      <c r="L193" s="12">
        <v>1342.203</v>
      </c>
      <c r="M193" s="12">
        <v>16.64</v>
      </c>
      <c r="N193" s="12">
        <v>16.64</v>
      </c>
      <c r="O193" s="12">
        <v>41.183999999999997</v>
      </c>
      <c r="P193" s="13" t="s">
        <v>24</v>
      </c>
      <c r="Q193" s="13" t="s">
        <v>24</v>
      </c>
      <c r="R193" s="12">
        <v>11</v>
      </c>
    </row>
    <row r="194" spans="1:18" ht="17" customHeight="1" x14ac:dyDescent="0.2">
      <c r="A194" s="5" t="s">
        <v>873</v>
      </c>
      <c r="B194" s="6" t="s">
        <v>874</v>
      </c>
      <c r="C194" s="5" t="s">
        <v>875</v>
      </c>
      <c r="D194" s="5" t="s">
        <v>875</v>
      </c>
      <c r="E194" s="5" t="s">
        <v>876</v>
      </c>
      <c r="F194" s="5" t="s">
        <v>54</v>
      </c>
      <c r="G194" s="5" t="s">
        <v>79</v>
      </c>
      <c r="H194" s="5" t="s">
        <v>56</v>
      </c>
      <c r="I194" s="5" t="str">
        <f>HYPERLINK("http://www.suolificiogalletti.it/","www.suolificiogalletti.it")</f>
        <v>www.suolificiogalletti.it</v>
      </c>
      <c r="J194" s="7">
        <v>1615.3150000000001</v>
      </c>
      <c r="K194" s="7">
        <v>1615.3150000000001</v>
      </c>
      <c r="L194" s="8">
        <v>1340.729</v>
      </c>
      <c r="M194" s="7">
        <v>43.573</v>
      </c>
      <c r="N194" s="7">
        <v>43.573</v>
      </c>
      <c r="O194" s="7">
        <v>32.042999999999999</v>
      </c>
      <c r="P194" s="7">
        <v>12</v>
      </c>
      <c r="Q194" s="7">
        <v>12</v>
      </c>
      <c r="R194" s="7">
        <v>9</v>
      </c>
    </row>
    <row r="195" spans="1:18" ht="17" customHeight="1" x14ac:dyDescent="0.2">
      <c r="A195" s="10" t="s">
        <v>877</v>
      </c>
      <c r="B195" s="11" t="s">
        <v>878</v>
      </c>
      <c r="C195" s="10" t="s">
        <v>879</v>
      </c>
      <c r="D195" s="10" t="s">
        <v>879</v>
      </c>
      <c r="E195" s="10" t="s">
        <v>880</v>
      </c>
      <c r="F195" s="10" t="s">
        <v>181</v>
      </c>
      <c r="G195" s="10" t="s">
        <v>298</v>
      </c>
      <c r="H195" s="10" t="s">
        <v>299</v>
      </c>
      <c r="I195" s="10" t="str">
        <f>HYPERLINK("http://www.projectsrl.org/","www.projectsrl.org")</f>
        <v>www.projectsrl.org</v>
      </c>
      <c r="J195" s="12">
        <v>1160.1949999999999</v>
      </c>
      <c r="K195" s="12">
        <v>1160.1949999999999</v>
      </c>
      <c r="L195" s="12">
        <v>1339.1980000000001</v>
      </c>
      <c r="M195" s="12">
        <v>21.067</v>
      </c>
      <c r="N195" s="12">
        <v>21.067</v>
      </c>
      <c r="O195" s="12">
        <v>15.209</v>
      </c>
      <c r="P195" s="12">
        <v>4</v>
      </c>
      <c r="Q195" s="12">
        <v>4</v>
      </c>
      <c r="R195" s="12">
        <v>5</v>
      </c>
    </row>
    <row r="196" spans="1:18" ht="17" customHeight="1" x14ac:dyDescent="0.2">
      <c r="A196" s="5" t="s">
        <v>881</v>
      </c>
      <c r="B196" s="6" t="s">
        <v>882</v>
      </c>
      <c r="C196" s="5" t="s">
        <v>883</v>
      </c>
      <c r="D196" s="5" t="s">
        <v>883</v>
      </c>
      <c r="E196" s="5" t="s">
        <v>884</v>
      </c>
      <c r="F196" s="5" t="s">
        <v>181</v>
      </c>
      <c r="G196" s="5" t="s">
        <v>253</v>
      </c>
      <c r="H196" s="5" t="s">
        <v>56</v>
      </c>
      <c r="I196" s="5" t="str">
        <f>HYPERLINK("http://www.babygraziella.it/","www.babygraziella.it")</f>
        <v>www.babygraziella.it</v>
      </c>
      <c r="J196" s="7">
        <v>1370.8030000000001</v>
      </c>
      <c r="K196" s="7">
        <v>1370.8030000000001</v>
      </c>
      <c r="L196" s="8">
        <v>1336.73</v>
      </c>
      <c r="M196" s="7">
        <v>-1.4119999999999999</v>
      </c>
      <c r="N196" s="7">
        <v>-1.4119999999999999</v>
      </c>
      <c r="O196" s="7">
        <v>1.56</v>
      </c>
      <c r="P196" s="7">
        <v>12</v>
      </c>
      <c r="Q196" s="7">
        <v>12</v>
      </c>
      <c r="R196" s="7">
        <v>12</v>
      </c>
    </row>
    <row r="197" spans="1:18" ht="17" customHeight="1" x14ac:dyDescent="0.2">
      <c r="A197" s="10" t="s">
        <v>885</v>
      </c>
      <c r="B197" s="11" t="s">
        <v>886</v>
      </c>
      <c r="C197" s="10" t="s">
        <v>887</v>
      </c>
      <c r="D197" s="10" t="s">
        <v>887</v>
      </c>
      <c r="E197" s="10" t="s">
        <v>888</v>
      </c>
      <c r="F197" s="10" t="s">
        <v>105</v>
      </c>
      <c r="G197" s="10" t="s">
        <v>552</v>
      </c>
      <c r="H197" s="10" t="s">
        <v>74</v>
      </c>
      <c r="I197" s="10" t="str">
        <f>HYPERLINK("http://www.tsfsrl.com/","www.tsfsrl.com")</f>
        <v>www.tsfsrl.com</v>
      </c>
      <c r="J197" s="12">
        <v>1511.5309999999999</v>
      </c>
      <c r="K197" s="12">
        <v>1511.5309999999999</v>
      </c>
      <c r="L197" s="12">
        <v>1335.6990000000001</v>
      </c>
      <c r="M197" s="12">
        <v>16.891999999999999</v>
      </c>
      <c r="N197" s="12">
        <v>16.891999999999999</v>
      </c>
      <c r="O197" s="12">
        <v>2.2690000000000001</v>
      </c>
      <c r="P197" s="12">
        <v>5</v>
      </c>
      <c r="Q197" s="12">
        <v>5</v>
      </c>
      <c r="R197" s="12">
        <v>4</v>
      </c>
    </row>
    <row r="198" spans="1:18" ht="17" customHeight="1" x14ac:dyDescent="0.2">
      <c r="A198" s="5" t="s">
        <v>889</v>
      </c>
      <c r="B198" s="6" t="s">
        <v>890</v>
      </c>
      <c r="C198" s="5" t="s">
        <v>891</v>
      </c>
      <c r="D198" s="5" t="s">
        <v>891</v>
      </c>
      <c r="E198" s="5" t="s">
        <v>892</v>
      </c>
      <c r="F198" s="5" t="s">
        <v>48</v>
      </c>
      <c r="G198" s="5" t="s">
        <v>224</v>
      </c>
      <c r="H198" s="5" t="s">
        <v>23</v>
      </c>
      <c r="I198" s="5" t="str">
        <f>HYPERLINK("http://www.laborsrl.org/","www.laborsrl.org")</f>
        <v>www.laborsrl.org</v>
      </c>
      <c r="J198" s="7">
        <v>1069.0840000000001</v>
      </c>
      <c r="K198" s="7">
        <v>1069.0840000000001</v>
      </c>
      <c r="L198" s="8">
        <v>1334.796</v>
      </c>
      <c r="M198" s="7">
        <v>67.995999999999995</v>
      </c>
      <c r="N198" s="7">
        <v>67.995999999999995</v>
      </c>
      <c r="O198" s="7">
        <v>119.822</v>
      </c>
      <c r="P198" s="7">
        <v>6</v>
      </c>
      <c r="Q198" s="7">
        <v>6</v>
      </c>
      <c r="R198" s="7">
        <v>6</v>
      </c>
    </row>
    <row r="199" spans="1:18" ht="17" customHeight="1" x14ac:dyDescent="0.2">
      <c r="A199" s="10" t="s">
        <v>893</v>
      </c>
      <c r="B199" s="11" t="s">
        <v>894</v>
      </c>
      <c r="C199" s="10" t="s">
        <v>895</v>
      </c>
      <c r="D199" s="10" t="s">
        <v>895</v>
      </c>
      <c r="E199" s="10" t="s">
        <v>896</v>
      </c>
      <c r="F199" s="10" t="s">
        <v>114</v>
      </c>
      <c r="G199" s="10" t="s">
        <v>437</v>
      </c>
      <c r="H199" s="10" t="s">
        <v>407</v>
      </c>
      <c r="I199" s="10" t="str">
        <f>HYPERLINK("http://leabruni.it/","leabruni.it")</f>
        <v>leabruni.it</v>
      </c>
      <c r="J199" s="12">
        <v>2281.0990000000002</v>
      </c>
      <c r="K199" s="12">
        <v>2281.0990000000002</v>
      </c>
      <c r="L199" s="12">
        <v>1331.617</v>
      </c>
      <c r="M199" s="12">
        <v>110.78100000000001</v>
      </c>
      <c r="N199" s="12">
        <v>110.78100000000001</v>
      </c>
      <c r="O199" s="12">
        <v>-27.038</v>
      </c>
      <c r="P199" s="12">
        <v>8</v>
      </c>
      <c r="Q199" s="12">
        <v>8</v>
      </c>
      <c r="R199" s="12">
        <v>8</v>
      </c>
    </row>
    <row r="200" spans="1:18" ht="17" customHeight="1" x14ac:dyDescent="0.2">
      <c r="A200" s="5" t="s">
        <v>897</v>
      </c>
      <c r="B200" s="6" t="s">
        <v>898</v>
      </c>
      <c r="C200" s="5" t="s">
        <v>899</v>
      </c>
      <c r="D200" s="5" t="s">
        <v>899</v>
      </c>
      <c r="E200" s="5" t="s">
        <v>900</v>
      </c>
      <c r="F200" s="5" t="s">
        <v>54</v>
      </c>
      <c r="G200" s="5" t="s">
        <v>79</v>
      </c>
      <c r="H200" s="5" t="s">
        <v>56</v>
      </c>
      <c r="I200" s="5" t="str">
        <f>HYPERLINK("http://www.mafsrl.net/","www.mafsrl.net")</f>
        <v>www.mafsrl.net</v>
      </c>
      <c r="J200" s="7">
        <v>1096.2090000000001</v>
      </c>
      <c r="K200" s="7">
        <v>1096.2090000000001</v>
      </c>
      <c r="L200" s="8">
        <v>1330.8150000000001</v>
      </c>
      <c r="M200" s="7">
        <v>71.950999999999993</v>
      </c>
      <c r="N200" s="7">
        <v>71.950999999999993</v>
      </c>
      <c r="O200" s="7">
        <v>83.707999999999998</v>
      </c>
      <c r="P200" s="7">
        <v>14</v>
      </c>
      <c r="Q200" s="7">
        <v>14</v>
      </c>
      <c r="R200" s="7">
        <v>15</v>
      </c>
    </row>
    <row r="201" spans="1:18" ht="17" customHeight="1" x14ac:dyDescent="0.2">
      <c r="A201" s="10" t="s">
        <v>901</v>
      </c>
      <c r="B201" s="11" t="s">
        <v>902</v>
      </c>
      <c r="C201" s="10" t="s">
        <v>903</v>
      </c>
      <c r="D201" s="10" t="s">
        <v>903</v>
      </c>
      <c r="E201" s="10" t="s">
        <v>904</v>
      </c>
      <c r="F201" s="10" t="s">
        <v>114</v>
      </c>
      <c r="G201" s="10" t="s">
        <v>247</v>
      </c>
      <c r="H201" s="10" t="s">
        <v>74</v>
      </c>
      <c r="I201" s="10" t="str">
        <f>HYPERLINK("http://angysix.com/","angysix.com")</f>
        <v>angysix.com</v>
      </c>
      <c r="J201" s="12">
        <v>1106.384</v>
      </c>
      <c r="K201" s="12">
        <v>1106.384</v>
      </c>
      <c r="L201" s="12">
        <v>1330.442</v>
      </c>
      <c r="M201" s="12">
        <v>-569.87900000000002</v>
      </c>
      <c r="N201" s="12">
        <v>-569.87900000000002</v>
      </c>
      <c r="O201" s="12">
        <v>-194.524</v>
      </c>
      <c r="P201" s="12">
        <v>9</v>
      </c>
      <c r="Q201" s="12">
        <v>9</v>
      </c>
      <c r="R201" s="12">
        <v>16</v>
      </c>
    </row>
    <row r="202" spans="1:18" ht="17" customHeight="1" x14ac:dyDescent="0.2">
      <c r="A202" s="5" t="s">
        <v>905</v>
      </c>
      <c r="B202" s="6" t="s">
        <v>906</v>
      </c>
      <c r="C202" s="5" t="s">
        <v>907</v>
      </c>
      <c r="D202" s="5" t="s">
        <v>907</v>
      </c>
      <c r="E202" s="5" t="s">
        <v>908</v>
      </c>
      <c r="F202" s="5" t="s">
        <v>114</v>
      </c>
      <c r="G202" s="5" t="s">
        <v>229</v>
      </c>
      <c r="H202" s="5" t="s">
        <v>31</v>
      </c>
      <c r="I202" s="5" t="str">
        <f>HYPERLINK("http://www.italkids.it/","www.italkids.it")</f>
        <v>www.italkids.it</v>
      </c>
      <c r="J202" s="7">
        <v>1404.395</v>
      </c>
      <c r="K202" s="7">
        <v>1404.395</v>
      </c>
      <c r="L202" s="8">
        <v>1329.402</v>
      </c>
      <c r="M202" s="7">
        <v>157.042</v>
      </c>
      <c r="N202" s="7">
        <v>157.042</v>
      </c>
      <c r="O202" s="7">
        <v>171.83600000000001</v>
      </c>
      <c r="P202" s="9" t="s">
        <v>24</v>
      </c>
      <c r="Q202" s="9" t="s">
        <v>24</v>
      </c>
      <c r="R202" s="7">
        <v>11</v>
      </c>
    </row>
    <row r="203" spans="1:18" ht="17" customHeight="1" x14ac:dyDescent="0.2">
      <c r="A203" s="10" t="s">
        <v>909</v>
      </c>
      <c r="B203" s="11" t="s">
        <v>910</v>
      </c>
      <c r="C203" s="10" t="s">
        <v>911</v>
      </c>
      <c r="D203" s="10" t="s">
        <v>911</v>
      </c>
      <c r="E203" s="10" t="s">
        <v>912</v>
      </c>
      <c r="F203" s="10" t="s">
        <v>114</v>
      </c>
      <c r="G203" s="10" t="s">
        <v>30</v>
      </c>
      <c r="H203" s="10" t="s">
        <v>31</v>
      </c>
      <c r="I203" s="10" t="str">
        <f>HYPERLINK("http://bottegadalmut.com/","bottegadalmut.com")</f>
        <v>bottegadalmut.com</v>
      </c>
      <c r="J203" s="12">
        <v>1864.1030000000001</v>
      </c>
      <c r="K203" s="12">
        <v>1864.1030000000001</v>
      </c>
      <c r="L203" s="12">
        <v>1327.8610000000001</v>
      </c>
      <c r="M203" s="12">
        <v>11.952</v>
      </c>
      <c r="N203" s="12">
        <v>11.952</v>
      </c>
      <c r="O203" s="12">
        <v>38.081000000000003</v>
      </c>
      <c r="P203" s="12">
        <v>14</v>
      </c>
      <c r="Q203" s="12">
        <v>14</v>
      </c>
      <c r="R203" s="12">
        <v>9</v>
      </c>
    </row>
    <row r="204" spans="1:18" ht="17" customHeight="1" x14ac:dyDescent="0.2">
      <c r="A204" s="5" t="s">
        <v>913</v>
      </c>
      <c r="B204" s="6" t="s">
        <v>914</v>
      </c>
      <c r="C204" s="5" t="s">
        <v>915</v>
      </c>
      <c r="D204" s="5" t="s">
        <v>915</v>
      </c>
      <c r="E204" s="5" t="s">
        <v>916</v>
      </c>
      <c r="F204" s="5" t="s">
        <v>181</v>
      </c>
      <c r="G204" s="5" t="s">
        <v>298</v>
      </c>
      <c r="H204" s="5" t="s">
        <v>299</v>
      </c>
      <c r="I204" s="5" t="str">
        <f>HYPERLINK("http://bark-italy.com/","bark-italy.com")</f>
        <v>bark-italy.com</v>
      </c>
      <c r="J204" s="7">
        <v>1251.9010000000001</v>
      </c>
      <c r="K204" s="7">
        <v>1251.9010000000001</v>
      </c>
      <c r="L204" s="8">
        <v>1325.9590000000001</v>
      </c>
      <c r="M204" s="7">
        <v>20.492000000000001</v>
      </c>
      <c r="N204" s="7">
        <v>20.492000000000001</v>
      </c>
      <c r="O204" s="7">
        <v>23.035</v>
      </c>
      <c r="P204" s="7">
        <v>3</v>
      </c>
      <c r="Q204" s="7">
        <v>3</v>
      </c>
      <c r="R204" s="7">
        <v>3</v>
      </c>
    </row>
    <row r="205" spans="1:18" ht="29.5" customHeight="1" x14ac:dyDescent="0.2">
      <c r="A205" s="10" t="s">
        <v>917</v>
      </c>
      <c r="B205" s="11" t="s">
        <v>918</v>
      </c>
      <c r="C205" s="10" t="s">
        <v>919</v>
      </c>
      <c r="D205" s="10" t="s">
        <v>919</v>
      </c>
      <c r="E205" s="10" t="s">
        <v>920</v>
      </c>
      <c r="F205" s="10" t="s">
        <v>860</v>
      </c>
      <c r="G205" s="10" t="s">
        <v>253</v>
      </c>
      <c r="H205" s="10" t="s">
        <v>56</v>
      </c>
      <c r="I205" s="10" t="str">
        <f>HYPERLINK("http://www.altile.it/","www.altile.it")</f>
        <v>www.altile.it</v>
      </c>
      <c r="J205" s="12">
        <v>1172.404</v>
      </c>
      <c r="K205" s="12">
        <v>1172.404</v>
      </c>
      <c r="L205" s="12">
        <v>1324.9960000000001</v>
      </c>
      <c r="M205" s="12">
        <v>2.6080000000000001</v>
      </c>
      <c r="N205" s="12">
        <v>2.6080000000000001</v>
      </c>
      <c r="O205" s="12">
        <v>113.62</v>
      </c>
      <c r="P205" s="12">
        <v>20</v>
      </c>
      <c r="Q205" s="12">
        <v>20</v>
      </c>
      <c r="R205" s="12">
        <v>18</v>
      </c>
    </row>
    <row r="206" spans="1:18" ht="17" customHeight="1" x14ac:dyDescent="0.2">
      <c r="A206" s="5" t="s">
        <v>921</v>
      </c>
      <c r="B206" s="6" t="s">
        <v>922</v>
      </c>
      <c r="C206" s="5" t="s">
        <v>923</v>
      </c>
      <c r="D206" s="5" t="s">
        <v>923</v>
      </c>
      <c r="E206" s="5" t="s">
        <v>924</v>
      </c>
      <c r="F206" s="5" t="s">
        <v>114</v>
      </c>
      <c r="G206" s="5" t="s">
        <v>176</v>
      </c>
      <c r="H206" s="5" t="s">
        <v>56</v>
      </c>
      <c r="I206" s="5" t="str">
        <f>HYPERLINK("http://www.acquasarta.it/","www.acquasarta.it")</f>
        <v>www.acquasarta.it</v>
      </c>
      <c r="J206" s="7">
        <v>1597.98</v>
      </c>
      <c r="K206" s="7">
        <v>1597.98</v>
      </c>
      <c r="L206" s="8">
        <v>1324.664</v>
      </c>
      <c r="M206" s="7">
        <v>50.912999999999997</v>
      </c>
      <c r="N206" s="7">
        <v>50.912999999999997</v>
      </c>
      <c r="O206" s="7">
        <v>55.917999999999999</v>
      </c>
      <c r="P206" s="7">
        <v>21</v>
      </c>
      <c r="Q206" s="7">
        <v>21</v>
      </c>
      <c r="R206" s="7">
        <v>21</v>
      </c>
    </row>
    <row r="207" spans="1:18" ht="17" customHeight="1" x14ac:dyDescent="0.2">
      <c r="A207" s="10" t="s">
        <v>925</v>
      </c>
      <c r="B207" s="11" t="s">
        <v>926</v>
      </c>
      <c r="C207" s="10" t="s">
        <v>927</v>
      </c>
      <c r="D207" s="10" t="s">
        <v>927</v>
      </c>
      <c r="E207" s="10" t="s">
        <v>928</v>
      </c>
      <c r="F207" s="10" t="s">
        <v>29</v>
      </c>
      <c r="G207" s="10" t="s">
        <v>234</v>
      </c>
      <c r="H207" s="10" t="s">
        <v>23</v>
      </c>
      <c r="I207" s="10" t="str">
        <f>HYPERLINK("http://www.everfashion.it/","www.everfashion.it")</f>
        <v>www.everfashion.it</v>
      </c>
      <c r="J207" s="12">
        <v>1089.6980000000001</v>
      </c>
      <c r="K207" s="12">
        <v>1089.6980000000001</v>
      </c>
      <c r="L207" s="12">
        <v>1324.732</v>
      </c>
      <c r="M207" s="12">
        <v>1.3720000000000001</v>
      </c>
      <c r="N207" s="12">
        <v>1.3720000000000001</v>
      </c>
      <c r="O207" s="12">
        <v>3.6480000000000001</v>
      </c>
      <c r="P207" s="12">
        <v>1</v>
      </c>
      <c r="Q207" s="12">
        <v>1</v>
      </c>
      <c r="R207" s="12">
        <v>1</v>
      </c>
    </row>
    <row r="208" spans="1:18" ht="17" customHeight="1" x14ac:dyDescent="0.2">
      <c r="A208" s="5" t="s">
        <v>929</v>
      </c>
      <c r="B208" s="6" t="s">
        <v>930</v>
      </c>
      <c r="C208" s="5" t="s">
        <v>931</v>
      </c>
      <c r="D208" s="5" t="s">
        <v>932</v>
      </c>
      <c r="E208" s="5" t="s">
        <v>933</v>
      </c>
      <c r="F208" s="5" t="s">
        <v>114</v>
      </c>
      <c r="G208" s="5" t="s">
        <v>308</v>
      </c>
      <c r="H208" s="5" t="s">
        <v>299</v>
      </c>
      <c r="I208" s="5" t="str">
        <f>HYPERLINK("http://www.ennevu.com/","www.ennevu.com")</f>
        <v>www.ennevu.com</v>
      </c>
      <c r="J208" s="7">
        <v>1611.3630000000001</v>
      </c>
      <c r="K208" s="7">
        <v>1611.3630000000001</v>
      </c>
      <c r="L208" s="8">
        <v>1323.989</v>
      </c>
      <c r="M208" s="7">
        <v>66.64</v>
      </c>
      <c r="N208" s="7">
        <v>66.64</v>
      </c>
      <c r="O208" s="7">
        <v>5.4530000000000003</v>
      </c>
      <c r="P208" s="7">
        <v>6</v>
      </c>
      <c r="Q208" s="7">
        <v>6</v>
      </c>
      <c r="R208" s="7">
        <v>6</v>
      </c>
    </row>
    <row r="209" spans="1:18" ht="17" customHeight="1" x14ac:dyDescent="0.2">
      <c r="A209" s="10" t="s">
        <v>934</v>
      </c>
      <c r="B209" s="11" t="s">
        <v>935</v>
      </c>
      <c r="C209" s="10" t="s">
        <v>936</v>
      </c>
      <c r="D209" s="10" t="s">
        <v>937</v>
      </c>
      <c r="E209" s="10" t="s">
        <v>938</v>
      </c>
      <c r="F209" s="10" t="s">
        <v>376</v>
      </c>
      <c r="G209" s="10" t="s">
        <v>100</v>
      </c>
      <c r="H209" s="10" t="s">
        <v>62</v>
      </c>
      <c r="I209" s="10" t="str">
        <f>HYPERLINK("http://www.aldocastagna.com/","www.aldocastagna.com")</f>
        <v>www.aldocastagna.com</v>
      </c>
      <c r="J209" s="12">
        <v>1395.076</v>
      </c>
      <c r="K209" s="12">
        <v>1395.076</v>
      </c>
      <c r="L209" s="12">
        <v>1323.97</v>
      </c>
      <c r="M209" s="12">
        <v>84.674999999999997</v>
      </c>
      <c r="N209" s="12">
        <v>84.674999999999997</v>
      </c>
      <c r="O209" s="12">
        <v>100.72799999999999</v>
      </c>
      <c r="P209" s="12">
        <v>13</v>
      </c>
      <c r="Q209" s="12">
        <v>13</v>
      </c>
      <c r="R209" s="12">
        <v>12</v>
      </c>
    </row>
    <row r="210" spans="1:18" ht="17" customHeight="1" x14ac:dyDescent="0.2">
      <c r="A210" s="5" t="s">
        <v>939</v>
      </c>
      <c r="B210" s="6" t="s">
        <v>940</v>
      </c>
      <c r="C210" s="5" t="s">
        <v>941</v>
      </c>
      <c r="D210" s="5" t="s">
        <v>941</v>
      </c>
      <c r="E210" s="5" t="s">
        <v>942</v>
      </c>
      <c r="F210" s="5" t="s">
        <v>29</v>
      </c>
      <c r="G210" s="5" t="s">
        <v>943</v>
      </c>
      <c r="H210" s="5" t="s">
        <v>407</v>
      </c>
      <c r="I210" s="5" t="str">
        <f>HYPERLINK("http://www.chefworks.it/","www.chefworks.it")</f>
        <v>www.chefworks.it</v>
      </c>
      <c r="J210" s="7">
        <v>1351.1210000000001</v>
      </c>
      <c r="K210" s="7">
        <v>1351.1210000000001</v>
      </c>
      <c r="L210" s="8">
        <v>1321.8620000000001</v>
      </c>
      <c r="M210" s="7">
        <v>33.85</v>
      </c>
      <c r="N210" s="7">
        <v>33.85</v>
      </c>
      <c r="O210" s="7">
        <v>31.734000000000002</v>
      </c>
      <c r="P210" s="7">
        <v>13</v>
      </c>
      <c r="Q210" s="7">
        <v>13</v>
      </c>
      <c r="R210" s="7">
        <v>17</v>
      </c>
    </row>
    <row r="211" spans="1:18" ht="17" customHeight="1" x14ac:dyDescent="0.2">
      <c r="A211" s="10" t="s">
        <v>944</v>
      </c>
      <c r="B211" s="11" t="s">
        <v>945</v>
      </c>
      <c r="C211" s="10" t="s">
        <v>946</v>
      </c>
      <c r="D211" s="10" t="s">
        <v>946</v>
      </c>
      <c r="E211" s="10" t="s">
        <v>947</v>
      </c>
      <c r="F211" s="10" t="s">
        <v>462</v>
      </c>
      <c r="G211" s="10" t="s">
        <v>36</v>
      </c>
      <c r="H211" s="10" t="s">
        <v>23</v>
      </c>
      <c r="I211" s="10" t="str">
        <f>HYPERLINK("http://www.confezionimanuela.com/","www.confezionimanuela.com")</f>
        <v>www.confezionimanuela.com</v>
      </c>
      <c r="J211" s="12">
        <v>1074.741</v>
      </c>
      <c r="K211" s="12">
        <v>1074.741</v>
      </c>
      <c r="L211" s="12">
        <v>1321.46</v>
      </c>
      <c r="M211" s="12">
        <v>2.456</v>
      </c>
      <c r="N211" s="12">
        <v>2.456</v>
      </c>
      <c r="O211" s="12">
        <v>2.331</v>
      </c>
      <c r="P211" s="12">
        <v>5</v>
      </c>
      <c r="Q211" s="12">
        <v>5</v>
      </c>
      <c r="R211" s="12">
        <v>4</v>
      </c>
    </row>
    <row r="212" spans="1:18" ht="17" customHeight="1" x14ac:dyDescent="0.2">
      <c r="A212" s="5" t="s">
        <v>948</v>
      </c>
      <c r="B212" s="6" t="s">
        <v>949</v>
      </c>
      <c r="C212" s="5" t="s">
        <v>950</v>
      </c>
      <c r="D212" s="5" t="s">
        <v>950</v>
      </c>
      <c r="E212" s="5" t="s">
        <v>951</v>
      </c>
      <c r="F212" s="5" t="s">
        <v>29</v>
      </c>
      <c r="G212" s="5" t="s">
        <v>120</v>
      </c>
      <c r="H212" s="5" t="s">
        <v>121</v>
      </c>
      <c r="I212" s="5" t="str">
        <f>HYPERLINK("http://www.favresrl.it/","www.favresrl.it")</f>
        <v>www.favresrl.it</v>
      </c>
      <c r="J212" s="7">
        <v>1578.2639999999999</v>
      </c>
      <c r="K212" s="7">
        <v>1578.2639999999999</v>
      </c>
      <c r="L212" s="8">
        <v>1318.09</v>
      </c>
      <c r="M212" s="7">
        <v>7.8319999999999999</v>
      </c>
      <c r="N212" s="7">
        <v>7.8319999999999999</v>
      </c>
      <c r="O212" s="7">
        <v>3.3290000000000002</v>
      </c>
      <c r="P212" s="9" t="s">
        <v>24</v>
      </c>
      <c r="Q212" s="9" t="s">
        <v>24</v>
      </c>
      <c r="R212" s="7">
        <v>28</v>
      </c>
    </row>
    <row r="213" spans="1:18" ht="17" customHeight="1" x14ac:dyDescent="0.2">
      <c r="A213" s="10" t="s">
        <v>952</v>
      </c>
      <c r="B213" s="11" t="s">
        <v>953</v>
      </c>
      <c r="C213" s="10" t="s">
        <v>954</v>
      </c>
      <c r="D213" s="10" t="s">
        <v>954</v>
      </c>
      <c r="E213" s="10" t="s">
        <v>955</v>
      </c>
      <c r="F213" s="10" t="s">
        <v>21</v>
      </c>
      <c r="G213" s="10" t="s">
        <v>140</v>
      </c>
      <c r="H213" s="10" t="s">
        <v>43</v>
      </c>
      <c r="I213" s="10" t="str">
        <f>HYPERLINK("http://orizo.it/","orizo.it")</f>
        <v>orizo.it</v>
      </c>
      <c r="J213" s="12">
        <v>1239.134</v>
      </c>
      <c r="K213" s="12">
        <v>1239.134</v>
      </c>
      <c r="L213" s="12">
        <v>1317.91</v>
      </c>
      <c r="M213" s="12">
        <v>-32.368000000000002</v>
      </c>
      <c r="N213" s="12">
        <v>-32.368000000000002</v>
      </c>
      <c r="O213" s="12">
        <v>-84.903000000000006</v>
      </c>
      <c r="P213" s="12">
        <v>1</v>
      </c>
      <c r="Q213" s="12">
        <v>1</v>
      </c>
      <c r="R213" s="12">
        <v>5</v>
      </c>
    </row>
    <row r="214" spans="1:18" ht="17" customHeight="1" x14ac:dyDescent="0.2">
      <c r="A214" s="5" t="s">
        <v>956</v>
      </c>
      <c r="B214" s="6" t="s">
        <v>957</v>
      </c>
      <c r="C214" s="5" t="s">
        <v>958</v>
      </c>
      <c r="D214" s="5" t="s">
        <v>958</v>
      </c>
      <c r="E214" s="5" t="s">
        <v>959</v>
      </c>
      <c r="F214" s="5" t="s">
        <v>48</v>
      </c>
      <c r="G214" s="5" t="s">
        <v>49</v>
      </c>
      <c r="H214" s="5" t="s">
        <v>23</v>
      </c>
      <c r="I214" s="5" t="str">
        <f>HYPERLINK("http://pelletteria2a.it/","pelletteria2a.it")</f>
        <v>pelletteria2a.it</v>
      </c>
      <c r="J214" s="7">
        <v>1317.0060000000001</v>
      </c>
      <c r="K214" s="9" t="s">
        <v>24</v>
      </c>
      <c r="L214" s="8">
        <v>1317.0060000000001</v>
      </c>
      <c r="M214" s="7">
        <v>1.7999999999999999E-2</v>
      </c>
      <c r="N214" s="9" t="s">
        <v>24</v>
      </c>
      <c r="O214" s="7">
        <v>1.7999999999999999E-2</v>
      </c>
      <c r="P214" s="9" t="s">
        <v>24</v>
      </c>
      <c r="Q214" s="9" t="s">
        <v>24</v>
      </c>
      <c r="R214" s="9" t="s">
        <v>24</v>
      </c>
    </row>
    <row r="215" spans="1:18" ht="29.5" customHeight="1" x14ac:dyDescent="0.2">
      <c r="A215" s="10" t="s">
        <v>960</v>
      </c>
      <c r="B215" s="11" t="s">
        <v>961</v>
      </c>
      <c r="C215" s="10" t="s">
        <v>962</v>
      </c>
      <c r="D215" s="10" t="s">
        <v>962</v>
      </c>
      <c r="E215" s="10" t="s">
        <v>963</v>
      </c>
      <c r="F215" s="10" t="s">
        <v>21</v>
      </c>
      <c r="G215" s="10" t="s">
        <v>676</v>
      </c>
      <c r="H215" s="10" t="s">
        <v>74</v>
      </c>
      <c r="I215" s="10" t="str">
        <f>HYPERLINK("http://www.rm1891.com/","www.rm1891.com")</f>
        <v>www.rm1891.com</v>
      </c>
      <c r="J215" s="12">
        <v>856.86199999999997</v>
      </c>
      <c r="K215" s="12">
        <v>856.86199999999997</v>
      </c>
      <c r="L215" s="12">
        <v>1313.8389999999999</v>
      </c>
      <c r="M215" s="12">
        <v>-642.57799999999997</v>
      </c>
      <c r="N215" s="12">
        <v>-642.57799999999997</v>
      </c>
      <c r="O215" s="12">
        <v>-1.4319999999999999</v>
      </c>
      <c r="P215" s="13" t="s">
        <v>24</v>
      </c>
      <c r="Q215" s="13" t="s">
        <v>24</v>
      </c>
      <c r="R215" s="12">
        <v>12</v>
      </c>
    </row>
    <row r="216" spans="1:18" ht="17" customHeight="1" x14ac:dyDescent="0.2">
      <c r="A216" s="5" t="s">
        <v>964</v>
      </c>
      <c r="B216" s="6" t="s">
        <v>965</v>
      </c>
      <c r="C216" s="5" t="s">
        <v>966</v>
      </c>
      <c r="D216" s="5" t="s">
        <v>966</v>
      </c>
      <c r="E216" s="5" t="s">
        <v>967</v>
      </c>
      <c r="F216" s="5" t="s">
        <v>41</v>
      </c>
      <c r="G216" s="5" t="s">
        <v>224</v>
      </c>
      <c r="H216" s="5" t="s">
        <v>23</v>
      </c>
      <c r="I216" s="5" t="str">
        <f>HYPERLINK("http://www.startleather.it/","www.startleather.it")</f>
        <v>www.startleather.it</v>
      </c>
      <c r="J216" s="7">
        <v>1225.845</v>
      </c>
      <c r="K216" s="7">
        <v>1225.845</v>
      </c>
      <c r="L216" s="8">
        <v>1311.3879999999999</v>
      </c>
      <c r="M216" s="7">
        <v>18.081</v>
      </c>
      <c r="N216" s="7">
        <v>18.081</v>
      </c>
      <c r="O216" s="7">
        <v>45.601999999999997</v>
      </c>
      <c r="P216" s="7">
        <v>6</v>
      </c>
      <c r="Q216" s="7">
        <v>6</v>
      </c>
      <c r="R216" s="7">
        <v>6</v>
      </c>
    </row>
    <row r="217" spans="1:18" ht="17" customHeight="1" x14ac:dyDescent="0.2">
      <c r="A217" s="10" t="s">
        <v>968</v>
      </c>
      <c r="B217" s="11" t="s">
        <v>969</v>
      </c>
      <c r="C217" s="10" t="s">
        <v>970</v>
      </c>
      <c r="D217" s="10" t="s">
        <v>970</v>
      </c>
      <c r="E217" s="10" t="s">
        <v>971</v>
      </c>
      <c r="F217" s="10" t="s">
        <v>367</v>
      </c>
      <c r="G217" s="10" t="s">
        <v>49</v>
      </c>
      <c r="H217" s="10" t="s">
        <v>23</v>
      </c>
      <c r="I217" s="10" t="str">
        <f>HYPERLINK("http://cirricollection.it/","cirricollection.it")</f>
        <v>cirricollection.it</v>
      </c>
      <c r="J217" s="12">
        <v>987.33600000000001</v>
      </c>
      <c r="K217" s="12">
        <v>987.33600000000001</v>
      </c>
      <c r="L217" s="12">
        <v>1309.5630000000001</v>
      </c>
      <c r="M217" s="12">
        <v>121.086</v>
      </c>
      <c r="N217" s="12">
        <v>121.086</v>
      </c>
      <c r="O217" s="12">
        <v>127.4</v>
      </c>
      <c r="P217" s="12">
        <v>2</v>
      </c>
      <c r="Q217" s="12">
        <v>2</v>
      </c>
      <c r="R217" s="12">
        <v>2</v>
      </c>
    </row>
    <row r="218" spans="1:18" ht="17" customHeight="1" x14ac:dyDescent="0.2">
      <c r="A218" s="5" t="s">
        <v>972</v>
      </c>
      <c r="B218" s="6" t="s">
        <v>973</v>
      </c>
      <c r="C218" s="5" t="s">
        <v>974</v>
      </c>
      <c r="D218" s="5" t="s">
        <v>974</v>
      </c>
      <c r="E218" s="5" t="s">
        <v>975</v>
      </c>
      <c r="F218" s="5" t="s">
        <v>21</v>
      </c>
      <c r="G218" s="5" t="s">
        <v>89</v>
      </c>
      <c r="H218" s="5" t="s">
        <v>56</v>
      </c>
      <c r="I218" s="5" t="str">
        <f>HYPERLINK("http://www.barleycorn.it/","www.barleycorn.it")</f>
        <v>www.barleycorn.it</v>
      </c>
      <c r="J218" s="7">
        <v>1453.8309999999999</v>
      </c>
      <c r="K218" s="7">
        <v>1453.8309999999999</v>
      </c>
      <c r="L218" s="8">
        <v>1309.0909999999999</v>
      </c>
      <c r="M218" s="7">
        <v>-191.904</v>
      </c>
      <c r="N218" s="7">
        <v>-191.904</v>
      </c>
      <c r="O218" s="7">
        <v>8.6170000000000009</v>
      </c>
      <c r="P218" s="7">
        <v>7</v>
      </c>
      <c r="Q218" s="7">
        <v>7</v>
      </c>
      <c r="R218" s="7">
        <v>8</v>
      </c>
    </row>
    <row r="219" spans="1:18" ht="17" customHeight="1" x14ac:dyDescent="0.2">
      <c r="A219" s="10" t="s">
        <v>976</v>
      </c>
      <c r="B219" s="11" t="s">
        <v>977</v>
      </c>
      <c r="C219" s="10" t="s">
        <v>978</v>
      </c>
      <c r="D219" s="10" t="s">
        <v>978</v>
      </c>
      <c r="E219" s="10" t="s">
        <v>979</v>
      </c>
      <c r="F219" s="10" t="s">
        <v>41</v>
      </c>
      <c r="G219" s="10" t="s">
        <v>100</v>
      </c>
      <c r="H219" s="10" t="s">
        <v>62</v>
      </c>
      <c r="I219" s="10" t="str">
        <f>HYPERLINK("http://www.copecapelli.com/","www.copecapelli.com")</f>
        <v>www.copecapelli.com</v>
      </c>
      <c r="J219" s="12">
        <v>766.08399999999995</v>
      </c>
      <c r="K219" s="12">
        <v>766.08399999999995</v>
      </c>
      <c r="L219" s="12">
        <v>1308.857</v>
      </c>
      <c r="M219" s="12">
        <v>-151.68899999999999</v>
      </c>
      <c r="N219" s="12">
        <v>-151.68899999999999</v>
      </c>
      <c r="O219" s="12">
        <v>247.07400000000001</v>
      </c>
      <c r="P219" s="12">
        <v>11</v>
      </c>
      <c r="Q219" s="12">
        <v>11</v>
      </c>
      <c r="R219" s="12">
        <v>12</v>
      </c>
    </row>
    <row r="220" spans="1:18" ht="17" customHeight="1" x14ac:dyDescent="0.2">
      <c r="A220" s="5" t="s">
        <v>980</v>
      </c>
      <c r="B220" s="6" t="s">
        <v>981</v>
      </c>
      <c r="C220" s="5" t="s">
        <v>982</v>
      </c>
      <c r="D220" s="5" t="s">
        <v>982</v>
      </c>
      <c r="E220" s="5" t="s">
        <v>983</v>
      </c>
      <c r="F220" s="5" t="s">
        <v>21</v>
      </c>
      <c r="G220" s="5" t="s">
        <v>89</v>
      </c>
      <c r="H220" s="5" t="s">
        <v>56</v>
      </c>
      <c r="I220" s="5" t="str">
        <f>HYPERLINK("http://www.verdecchia.it/","www.verdecchia.it")</f>
        <v>www.verdecchia.it</v>
      </c>
      <c r="J220" s="7">
        <v>1196.4770000000001</v>
      </c>
      <c r="K220" s="7">
        <v>1196.4770000000001</v>
      </c>
      <c r="L220" s="8">
        <v>1308.1890000000001</v>
      </c>
      <c r="M220" s="7">
        <v>35.655999999999999</v>
      </c>
      <c r="N220" s="7">
        <v>35.655999999999999</v>
      </c>
      <c r="O220" s="7">
        <v>128.65299999999999</v>
      </c>
      <c r="P220" s="7">
        <v>8</v>
      </c>
      <c r="Q220" s="7">
        <v>8</v>
      </c>
      <c r="R220" s="7">
        <v>7</v>
      </c>
    </row>
    <row r="221" spans="1:18" ht="17" customHeight="1" x14ac:dyDescent="0.2">
      <c r="A221" s="10" t="s">
        <v>984</v>
      </c>
      <c r="B221" s="11" t="s">
        <v>985</v>
      </c>
      <c r="C221" s="10" t="s">
        <v>986</v>
      </c>
      <c r="D221" s="10" t="s">
        <v>986</v>
      </c>
      <c r="E221" s="10" t="s">
        <v>987</v>
      </c>
      <c r="F221" s="10" t="s">
        <v>29</v>
      </c>
      <c r="G221" s="10" t="s">
        <v>676</v>
      </c>
      <c r="H221" s="10" t="s">
        <v>74</v>
      </c>
      <c r="I221" s="10" t="str">
        <f>HYPERLINK("http://www.m2accessori.it/","www.m2accessori.it")</f>
        <v>www.m2accessori.it</v>
      </c>
      <c r="J221" s="12">
        <v>986.05499999999995</v>
      </c>
      <c r="K221" s="12">
        <v>986.05499999999995</v>
      </c>
      <c r="L221" s="12">
        <v>1305.847</v>
      </c>
      <c r="M221" s="12">
        <v>16.023</v>
      </c>
      <c r="N221" s="12">
        <v>16.023</v>
      </c>
      <c r="O221" s="12">
        <v>6.7249999999999996</v>
      </c>
      <c r="P221" s="13" t="s">
        <v>24</v>
      </c>
      <c r="Q221" s="13" t="s">
        <v>24</v>
      </c>
      <c r="R221" s="12">
        <v>2</v>
      </c>
    </row>
    <row r="222" spans="1:18" ht="17" customHeight="1" x14ac:dyDescent="0.2">
      <c r="A222" s="5" t="s">
        <v>988</v>
      </c>
      <c r="B222" s="6" t="s">
        <v>989</v>
      </c>
      <c r="C222" s="5" t="s">
        <v>990</v>
      </c>
      <c r="D222" s="5" t="s">
        <v>990</v>
      </c>
      <c r="E222" s="5" t="s">
        <v>991</v>
      </c>
      <c r="F222" s="5" t="s">
        <v>29</v>
      </c>
      <c r="G222" s="5" t="s">
        <v>190</v>
      </c>
      <c r="H222" s="5" t="s">
        <v>74</v>
      </c>
      <c r="I222" s="5" t="str">
        <f>HYPERLINK("http://www.servicemoda.it/","www.servicemoda.it")</f>
        <v>www.servicemoda.it</v>
      </c>
      <c r="J222" s="7">
        <v>1104.1289999999999</v>
      </c>
      <c r="K222" s="7">
        <v>1104.1289999999999</v>
      </c>
      <c r="L222" s="8">
        <v>1303.4090000000001</v>
      </c>
      <c r="M222" s="7">
        <v>1.0940000000000001</v>
      </c>
      <c r="N222" s="7">
        <v>1.0940000000000001</v>
      </c>
      <c r="O222" s="7">
        <v>5.7610000000000001</v>
      </c>
      <c r="P222" s="9" t="s">
        <v>24</v>
      </c>
      <c r="Q222" s="9" t="s">
        <v>24</v>
      </c>
      <c r="R222" s="7">
        <v>14</v>
      </c>
    </row>
    <row r="223" spans="1:18" ht="17" customHeight="1" x14ac:dyDescent="0.2">
      <c r="A223" s="10" t="s">
        <v>992</v>
      </c>
      <c r="B223" s="11" t="s">
        <v>993</v>
      </c>
      <c r="C223" s="10" t="s">
        <v>994</v>
      </c>
      <c r="D223" s="10" t="s">
        <v>995</v>
      </c>
      <c r="E223" s="10" t="s">
        <v>996</v>
      </c>
      <c r="F223" s="10" t="s">
        <v>54</v>
      </c>
      <c r="G223" s="10" t="s">
        <v>61</v>
      </c>
      <c r="H223" s="10" t="s">
        <v>62</v>
      </c>
      <c r="I223" s="10" t="str">
        <f>HYPERLINK("http://www.italsuole.it/","www.italsuole.it")</f>
        <v>www.italsuole.it</v>
      </c>
      <c r="J223" s="12">
        <v>1004.147</v>
      </c>
      <c r="K223" s="12">
        <v>1004.147</v>
      </c>
      <c r="L223" s="12">
        <v>1300.854</v>
      </c>
      <c r="M223" s="12">
        <v>3.3140000000000001</v>
      </c>
      <c r="N223" s="12">
        <v>3.3140000000000001</v>
      </c>
      <c r="O223" s="12">
        <v>-130.84100000000001</v>
      </c>
      <c r="P223" s="12">
        <v>18</v>
      </c>
      <c r="Q223" s="12">
        <v>18</v>
      </c>
      <c r="R223" s="12">
        <v>20</v>
      </c>
    </row>
    <row r="224" spans="1:18" ht="17" customHeight="1" x14ac:dyDescent="0.2">
      <c r="A224" s="5" t="s">
        <v>997</v>
      </c>
      <c r="B224" s="6" t="s">
        <v>998</v>
      </c>
      <c r="C224" s="5" t="s">
        <v>999</v>
      </c>
      <c r="D224" s="5" t="s">
        <v>999</v>
      </c>
      <c r="E224" s="5" t="s">
        <v>1000</v>
      </c>
      <c r="F224" s="5" t="s">
        <v>21</v>
      </c>
      <c r="G224" s="5" t="s">
        <v>100</v>
      </c>
      <c r="H224" s="5" t="s">
        <v>62</v>
      </c>
      <c r="I224" s="5" t="str">
        <f>HYPERLINK("http://www.preziosogroup.com/","www.preziosogroup.com")</f>
        <v>www.preziosogroup.com</v>
      </c>
      <c r="J224" s="7">
        <v>1729.855</v>
      </c>
      <c r="K224" s="7">
        <v>1729.855</v>
      </c>
      <c r="L224" s="8">
        <v>1299.759</v>
      </c>
      <c r="M224" s="7">
        <v>8.3979999999999997</v>
      </c>
      <c r="N224" s="7">
        <v>8.3979999999999997</v>
      </c>
      <c r="O224" s="7">
        <v>230.28299999999999</v>
      </c>
      <c r="P224" s="7">
        <v>16</v>
      </c>
      <c r="Q224" s="7">
        <v>16</v>
      </c>
      <c r="R224" s="7">
        <v>11</v>
      </c>
    </row>
    <row r="225" spans="1:18" ht="17" customHeight="1" x14ac:dyDescent="0.2">
      <c r="A225" s="10" t="s">
        <v>1001</v>
      </c>
      <c r="B225" s="11" t="s">
        <v>1002</v>
      </c>
      <c r="C225" s="10" t="s">
        <v>1003</v>
      </c>
      <c r="D225" s="10" t="s">
        <v>1003</v>
      </c>
      <c r="E225" s="10" t="s">
        <v>1004</v>
      </c>
      <c r="F225" s="10" t="s">
        <v>29</v>
      </c>
      <c r="G225" s="10" t="s">
        <v>247</v>
      </c>
      <c r="H225" s="10" t="s">
        <v>74</v>
      </c>
      <c r="I225" s="10" t="str">
        <f>HYPERLINK("http://www.magliaclub.com/","www.magliaclub.com")</f>
        <v>www.magliaclub.com</v>
      </c>
      <c r="J225" s="12">
        <v>1718.402</v>
      </c>
      <c r="K225" s="12">
        <v>1718.402</v>
      </c>
      <c r="L225" s="12">
        <v>1299.7439999999999</v>
      </c>
      <c r="M225" s="12">
        <v>-29.173999999999999</v>
      </c>
      <c r="N225" s="12">
        <v>-29.173999999999999</v>
      </c>
      <c r="O225" s="12">
        <v>-268.041</v>
      </c>
      <c r="P225" s="12">
        <v>6</v>
      </c>
      <c r="Q225" s="12">
        <v>6</v>
      </c>
      <c r="R225" s="12">
        <v>6</v>
      </c>
    </row>
    <row r="226" spans="1:18" ht="17" customHeight="1" x14ac:dyDescent="0.2">
      <c r="A226" s="5" t="s">
        <v>1005</v>
      </c>
      <c r="B226" s="6" t="s">
        <v>1006</v>
      </c>
      <c r="C226" s="5" t="s">
        <v>1007</v>
      </c>
      <c r="D226" s="5" t="s">
        <v>1007</v>
      </c>
      <c r="E226" s="5" t="s">
        <v>1008</v>
      </c>
      <c r="F226" s="5" t="s">
        <v>114</v>
      </c>
      <c r="G226" s="5" t="s">
        <v>298</v>
      </c>
      <c r="H226" s="5" t="s">
        <v>299</v>
      </c>
      <c r="I226" s="5" t="str">
        <f>HYPERLINK("http://www.amarynth.it/","www.amarynth.it")</f>
        <v>www.amarynth.it</v>
      </c>
      <c r="J226" s="7">
        <v>1083.693</v>
      </c>
      <c r="K226" s="7">
        <v>1083.693</v>
      </c>
      <c r="L226" s="8">
        <v>1299.5360000000001</v>
      </c>
      <c r="M226" s="7">
        <v>2.6360000000000001</v>
      </c>
      <c r="N226" s="7">
        <v>2.6360000000000001</v>
      </c>
      <c r="O226" s="7">
        <v>6.0780000000000003</v>
      </c>
      <c r="P226" s="7">
        <v>7</v>
      </c>
      <c r="Q226" s="7">
        <v>7</v>
      </c>
      <c r="R226" s="7">
        <v>8</v>
      </c>
    </row>
    <row r="227" spans="1:18" ht="17" customHeight="1" x14ac:dyDescent="0.2">
      <c r="A227" s="10" t="s">
        <v>1009</v>
      </c>
      <c r="B227" s="11" t="s">
        <v>1010</v>
      </c>
      <c r="C227" s="10" t="s">
        <v>1011</v>
      </c>
      <c r="D227" s="10" t="s">
        <v>1011</v>
      </c>
      <c r="E227" s="10" t="s">
        <v>1012</v>
      </c>
      <c r="F227" s="10" t="s">
        <v>114</v>
      </c>
      <c r="G227" s="10" t="s">
        <v>1013</v>
      </c>
      <c r="H227" s="10" t="s">
        <v>43</v>
      </c>
      <c r="I227" s="10" t="str">
        <f>HYPERLINK("http://www.camplin.eu/","www.camplin.eu")</f>
        <v>www.camplin.eu</v>
      </c>
      <c r="J227" s="12">
        <v>1508.626</v>
      </c>
      <c r="K227" s="12">
        <v>1508.626</v>
      </c>
      <c r="L227" s="12">
        <v>1297.624</v>
      </c>
      <c r="M227" s="12">
        <v>11.032</v>
      </c>
      <c r="N227" s="12">
        <v>11.032</v>
      </c>
      <c r="O227" s="12">
        <v>6.0449999999999999</v>
      </c>
      <c r="P227" s="12">
        <v>5</v>
      </c>
      <c r="Q227" s="12">
        <v>5</v>
      </c>
      <c r="R227" s="12">
        <v>4</v>
      </c>
    </row>
    <row r="228" spans="1:18" ht="17" customHeight="1" x14ac:dyDescent="0.2">
      <c r="A228" s="5" t="s">
        <v>1014</v>
      </c>
      <c r="B228" s="6" t="s">
        <v>1015</v>
      </c>
      <c r="C228" s="5" t="s">
        <v>1016</v>
      </c>
      <c r="D228" s="5" t="s">
        <v>1016</v>
      </c>
      <c r="E228" s="5" t="s">
        <v>1017</v>
      </c>
      <c r="F228" s="5" t="s">
        <v>21</v>
      </c>
      <c r="G228" s="5" t="s">
        <v>211</v>
      </c>
      <c r="H228" s="5" t="s">
        <v>74</v>
      </c>
      <c r="I228" s="5" t="str">
        <f>HYPERLINK("http://avenue67.it/","avenue67.it")</f>
        <v>avenue67.it</v>
      </c>
      <c r="J228" s="7">
        <v>1222.01</v>
      </c>
      <c r="K228" s="7">
        <v>1222.01</v>
      </c>
      <c r="L228" s="8">
        <v>1295.683</v>
      </c>
      <c r="M228" s="7">
        <v>32.927</v>
      </c>
      <c r="N228" s="7">
        <v>32.927</v>
      </c>
      <c r="O228" s="7">
        <v>118.374</v>
      </c>
      <c r="P228" s="7">
        <v>2</v>
      </c>
      <c r="Q228" s="7">
        <v>2</v>
      </c>
      <c r="R228" s="7">
        <v>2</v>
      </c>
    </row>
    <row r="229" spans="1:18" ht="17" customHeight="1" x14ac:dyDescent="0.2">
      <c r="A229" s="10" t="s">
        <v>1018</v>
      </c>
      <c r="B229" s="11" t="s">
        <v>1019</v>
      </c>
      <c r="C229" s="10" t="s">
        <v>1020</v>
      </c>
      <c r="D229" s="10" t="s">
        <v>1020</v>
      </c>
      <c r="E229" s="10" t="s">
        <v>1021</v>
      </c>
      <c r="F229" s="10" t="s">
        <v>149</v>
      </c>
      <c r="G229" s="10" t="s">
        <v>943</v>
      </c>
      <c r="H229" s="10" t="s">
        <v>407</v>
      </c>
      <c r="I229" s="10" t="str">
        <f>HYPERLINK("http://www.italianasport.it/","www.italianasport.it")</f>
        <v>www.italianasport.it</v>
      </c>
      <c r="J229" s="12">
        <v>1505.94</v>
      </c>
      <c r="K229" s="12">
        <v>1505.94</v>
      </c>
      <c r="L229" s="12">
        <v>1291.962</v>
      </c>
      <c r="M229" s="12">
        <v>49.073999999999998</v>
      </c>
      <c r="N229" s="12">
        <v>49.073999999999998</v>
      </c>
      <c r="O229" s="12">
        <v>38.351999999999997</v>
      </c>
      <c r="P229" s="12">
        <v>4</v>
      </c>
      <c r="Q229" s="12">
        <v>4</v>
      </c>
      <c r="R229" s="12">
        <v>4</v>
      </c>
    </row>
    <row r="230" spans="1:18" ht="17" customHeight="1" x14ac:dyDescent="0.2">
      <c r="A230" s="5" t="s">
        <v>1022</v>
      </c>
      <c r="B230" s="6" t="s">
        <v>1023</v>
      </c>
      <c r="C230" s="5" t="s">
        <v>1024</v>
      </c>
      <c r="D230" s="5" t="s">
        <v>1025</v>
      </c>
      <c r="E230" s="5" t="s">
        <v>1026</v>
      </c>
      <c r="F230" s="5" t="s">
        <v>462</v>
      </c>
      <c r="G230" s="5" t="s">
        <v>100</v>
      </c>
      <c r="H230" s="5" t="s">
        <v>62</v>
      </c>
      <c r="I230" s="5" t="str">
        <f>HYPERLINK("http://www.camiceriavalery.it/","www.camiceriavalery.it")</f>
        <v>www.camiceriavalery.it</v>
      </c>
      <c r="J230" s="7">
        <v>1636.596</v>
      </c>
      <c r="K230" s="7">
        <v>1636.596</v>
      </c>
      <c r="L230" s="8">
        <v>1290.0619999999999</v>
      </c>
      <c r="M230" s="7">
        <v>34.767000000000003</v>
      </c>
      <c r="N230" s="7">
        <v>34.767000000000003</v>
      </c>
      <c r="O230" s="7">
        <v>78.936000000000007</v>
      </c>
      <c r="P230" s="9" t="s">
        <v>24</v>
      </c>
      <c r="Q230" s="9" t="s">
        <v>24</v>
      </c>
      <c r="R230" s="7">
        <v>9</v>
      </c>
    </row>
    <row r="231" spans="1:18" ht="17" customHeight="1" x14ac:dyDescent="0.2">
      <c r="A231" s="10" t="s">
        <v>1027</v>
      </c>
      <c r="B231" s="11" t="s">
        <v>1028</v>
      </c>
      <c r="C231" s="10" t="s">
        <v>1029</v>
      </c>
      <c r="D231" s="10" t="s">
        <v>1029</v>
      </c>
      <c r="E231" s="10" t="s">
        <v>1030</v>
      </c>
      <c r="F231" s="10" t="s">
        <v>54</v>
      </c>
      <c r="G231" s="10" t="s">
        <v>293</v>
      </c>
      <c r="H231" s="10" t="s">
        <v>74</v>
      </c>
      <c r="I231" s="10" t="str">
        <f>HYPERLINK("http://www.palmadoro.it/","www.palmadoro.it")</f>
        <v>www.palmadoro.it</v>
      </c>
      <c r="J231" s="12">
        <v>1254.6220000000001</v>
      </c>
      <c r="K231" s="12">
        <v>1254.6220000000001</v>
      </c>
      <c r="L231" s="12">
        <v>1289.6189999999999</v>
      </c>
      <c r="M231" s="12">
        <v>37.125</v>
      </c>
      <c r="N231" s="12">
        <v>37.125</v>
      </c>
      <c r="O231" s="12">
        <v>127.617</v>
      </c>
      <c r="P231" s="12">
        <v>7</v>
      </c>
      <c r="Q231" s="12">
        <v>7</v>
      </c>
      <c r="R231" s="12">
        <v>6</v>
      </c>
    </row>
    <row r="232" spans="1:18" ht="17" customHeight="1" x14ac:dyDescent="0.2">
      <c r="A232" s="5" t="s">
        <v>1031</v>
      </c>
      <c r="B232" s="6" t="s">
        <v>1032</v>
      </c>
      <c r="C232" s="5" t="s">
        <v>1033</v>
      </c>
      <c r="D232" s="5" t="s">
        <v>1033</v>
      </c>
      <c r="E232" s="5" t="s">
        <v>1034</v>
      </c>
      <c r="F232" s="5" t="s">
        <v>54</v>
      </c>
      <c r="G232" s="5" t="s">
        <v>140</v>
      </c>
      <c r="H232" s="5" t="s">
        <v>43</v>
      </c>
      <c r="I232" s="5" t="str">
        <f>HYPERLINK("http://www.frada.it/","www.frada.it")</f>
        <v>www.frada.it</v>
      </c>
      <c r="J232" s="7">
        <v>1058.992</v>
      </c>
      <c r="K232" s="7">
        <v>1058.992</v>
      </c>
      <c r="L232" s="8">
        <v>1289.403</v>
      </c>
      <c r="M232" s="7">
        <v>118.934</v>
      </c>
      <c r="N232" s="7">
        <v>118.934</v>
      </c>
      <c r="O232" s="7">
        <v>220.994</v>
      </c>
      <c r="P232" s="7">
        <v>4</v>
      </c>
      <c r="Q232" s="7">
        <v>4</v>
      </c>
      <c r="R232" s="7">
        <v>4</v>
      </c>
    </row>
    <row r="233" spans="1:18" ht="17" customHeight="1" x14ac:dyDescent="0.2">
      <c r="A233" s="10" t="s">
        <v>1035</v>
      </c>
      <c r="B233" s="11" t="s">
        <v>1036</v>
      </c>
      <c r="C233" s="10" t="s">
        <v>1037</v>
      </c>
      <c r="D233" s="10" t="s">
        <v>1037</v>
      </c>
      <c r="E233" s="10" t="s">
        <v>1038</v>
      </c>
      <c r="F233" s="10" t="s">
        <v>29</v>
      </c>
      <c r="G233" s="10" t="s">
        <v>1013</v>
      </c>
      <c r="H233" s="10" t="s">
        <v>43</v>
      </c>
      <c r="I233" s="10" t="str">
        <f>HYPERLINK("http://www.confezionitrifoglio.it/","www.confezionitrifoglio.it")</f>
        <v>www.confezionitrifoglio.it</v>
      </c>
      <c r="J233" s="12">
        <v>1594.0930000000001</v>
      </c>
      <c r="K233" s="12">
        <v>1594.0930000000001</v>
      </c>
      <c r="L233" s="12">
        <v>1286.673</v>
      </c>
      <c r="M233" s="12">
        <v>15.538</v>
      </c>
      <c r="N233" s="12">
        <v>15.538</v>
      </c>
      <c r="O233" s="12">
        <v>7.9480000000000004</v>
      </c>
      <c r="P233" s="12">
        <v>9</v>
      </c>
      <c r="Q233" s="12">
        <v>9</v>
      </c>
      <c r="R233" s="12">
        <v>9</v>
      </c>
    </row>
    <row r="234" spans="1:18" ht="17" customHeight="1" x14ac:dyDescent="0.2">
      <c r="A234" s="5" t="s">
        <v>1039</v>
      </c>
      <c r="B234" s="6" t="s">
        <v>1040</v>
      </c>
      <c r="C234" s="5" t="s">
        <v>1041</v>
      </c>
      <c r="D234" s="5" t="s">
        <v>1041</v>
      </c>
      <c r="E234" s="5" t="s">
        <v>1042</v>
      </c>
      <c r="F234" s="5" t="s">
        <v>21</v>
      </c>
      <c r="G234" s="5" t="s">
        <v>1013</v>
      </c>
      <c r="H234" s="5" t="s">
        <v>43</v>
      </c>
      <c r="I234" s="5" t="str">
        <f>HYPERLINK("http://www.europeancomfort.it/","www.europeancomfort.it")</f>
        <v>www.europeancomfort.it</v>
      </c>
      <c r="J234" s="7">
        <v>2147.893</v>
      </c>
      <c r="K234" s="7">
        <v>2147.893</v>
      </c>
      <c r="L234" s="8">
        <v>1285.309</v>
      </c>
      <c r="M234" s="7">
        <v>19.911000000000001</v>
      </c>
      <c r="N234" s="7">
        <v>19.911000000000001</v>
      </c>
      <c r="O234" s="7">
        <v>19.192</v>
      </c>
      <c r="P234" s="7">
        <v>11</v>
      </c>
      <c r="Q234" s="7">
        <v>11</v>
      </c>
      <c r="R234" s="7">
        <v>14</v>
      </c>
    </row>
    <row r="235" spans="1:18" ht="17" customHeight="1" x14ac:dyDescent="0.2">
      <c r="A235" s="10" t="s">
        <v>1043</v>
      </c>
      <c r="B235" s="11" t="s">
        <v>1044</v>
      </c>
      <c r="C235" s="10" t="s">
        <v>1045</v>
      </c>
      <c r="D235" s="10" t="s">
        <v>1045</v>
      </c>
      <c r="E235" s="10" t="s">
        <v>1046</v>
      </c>
      <c r="F235" s="10" t="s">
        <v>114</v>
      </c>
      <c r="G235" s="10" t="s">
        <v>42</v>
      </c>
      <c r="H235" s="10" t="s">
        <v>43</v>
      </c>
      <c r="I235" s="10" t="str">
        <f>HYPERLINK("http://cellardoor.co.jp/","cellardoor.co.jp")</f>
        <v>cellardoor.co.jp</v>
      </c>
      <c r="J235" s="12">
        <v>1417.856</v>
      </c>
      <c r="K235" s="12">
        <v>1417.856</v>
      </c>
      <c r="L235" s="12">
        <v>1284.8309999999999</v>
      </c>
      <c r="M235" s="12">
        <v>1.4339999999999999</v>
      </c>
      <c r="N235" s="12">
        <v>1.4339999999999999</v>
      </c>
      <c r="O235" s="12">
        <v>-2.8319999999999999</v>
      </c>
      <c r="P235" s="12">
        <v>2</v>
      </c>
      <c r="Q235" s="12">
        <v>2</v>
      </c>
      <c r="R235" s="12">
        <v>2</v>
      </c>
    </row>
    <row r="236" spans="1:18" ht="17" customHeight="1" x14ac:dyDescent="0.2">
      <c r="A236" s="5" t="s">
        <v>1047</v>
      </c>
      <c r="B236" s="6" t="s">
        <v>1048</v>
      </c>
      <c r="C236" s="5" t="s">
        <v>1049</v>
      </c>
      <c r="D236" s="5" t="s">
        <v>1049</v>
      </c>
      <c r="E236" s="5" t="s">
        <v>1050</v>
      </c>
      <c r="F236" s="5" t="s">
        <v>181</v>
      </c>
      <c r="G236" s="5" t="s">
        <v>298</v>
      </c>
      <c r="H236" s="5" t="s">
        <v>299</v>
      </c>
      <c r="I236" s="5" t="str">
        <f>HYPERLINK("http://shop.primordialisprimitive.it/","shop.primordialisprimitive.it")</f>
        <v>shop.primordialisprimitive.it</v>
      </c>
      <c r="J236" s="7">
        <v>1340.9179999999999</v>
      </c>
      <c r="K236" s="7">
        <v>1340.9179999999999</v>
      </c>
      <c r="L236" s="8">
        <v>1284.556</v>
      </c>
      <c r="M236" s="7">
        <v>-9.0210000000000008</v>
      </c>
      <c r="N236" s="7">
        <v>-9.0210000000000008</v>
      </c>
      <c r="O236" s="7">
        <v>-5.6429999999999998</v>
      </c>
      <c r="P236" s="7">
        <v>5</v>
      </c>
      <c r="Q236" s="7">
        <v>5</v>
      </c>
      <c r="R236" s="7">
        <v>5</v>
      </c>
    </row>
    <row r="237" spans="1:18" ht="17" customHeight="1" x14ac:dyDescent="0.2">
      <c r="A237" s="10" t="s">
        <v>1051</v>
      </c>
      <c r="B237" s="11" t="s">
        <v>1052</v>
      </c>
      <c r="C237" s="10" t="s">
        <v>1053</v>
      </c>
      <c r="D237" s="10" t="s">
        <v>1053</v>
      </c>
      <c r="E237" s="10" t="s">
        <v>1054</v>
      </c>
      <c r="F237" s="10" t="s">
        <v>105</v>
      </c>
      <c r="G237" s="10" t="s">
        <v>115</v>
      </c>
      <c r="H237" s="10" t="s">
        <v>43</v>
      </c>
      <c r="I237" s="10" t="str">
        <f>HYPERLINK("http://destrodiffusione.it/","destrodiffusione.it")</f>
        <v>destrodiffusione.it</v>
      </c>
      <c r="J237" s="12">
        <v>1120.8399999999999</v>
      </c>
      <c r="K237" s="12">
        <v>1120.8399999999999</v>
      </c>
      <c r="L237" s="12">
        <v>1284.2550000000001</v>
      </c>
      <c r="M237" s="12">
        <v>-69.256</v>
      </c>
      <c r="N237" s="12">
        <v>-69.256</v>
      </c>
      <c r="O237" s="12">
        <v>-134.63</v>
      </c>
      <c r="P237" s="12">
        <v>9</v>
      </c>
      <c r="Q237" s="12">
        <v>9</v>
      </c>
      <c r="R237" s="12">
        <v>10</v>
      </c>
    </row>
    <row r="238" spans="1:18" ht="17" customHeight="1" x14ac:dyDescent="0.2">
      <c r="A238" s="5" t="s">
        <v>1055</v>
      </c>
      <c r="B238" s="6" t="s">
        <v>1056</v>
      </c>
      <c r="C238" s="5" t="s">
        <v>1057</v>
      </c>
      <c r="D238" s="5" t="s">
        <v>1057</v>
      </c>
      <c r="E238" s="5" t="s">
        <v>1058</v>
      </c>
      <c r="F238" s="5" t="s">
        <v>482</v>
      </c>
      <c r="G238" s="5" t="s">
        <v>190</v>
      </c>
      <c r="H238" s="5" t="s">
        <v>74</v>
      </c>
      <c r="I238" s="5" t="str">
        <f>HYPERLINK("http://www.pelletteriaz3.it/","www.pelletteriaz3.it")</f>
        <v>www.pelletteriaz3.it</v>
      </c>
      <c r="J238" s="7">
        <v>1464.24</v>
      </c>
      <c r="K238" s="7">
        <v>1464.24</v>
      </c>
      <c r="L238" s="8">
        <v>1281.5930000000001</v>
      </c>
      <c r="M238" s="7">
        <v>4.968</v>
      </c>
      <c r="N238" s="7">
        <v>4.968</v>
      </c>
      <c r="O238" s="7">
        <v>13.994999999999999</v>
      </c>
      <c r="P238" s="7">
        <v>15</v>
      </c>
      <c r="Q238" s="7">
        <v>15</v>
      </c>
      <c r="R238" s="7">
        <v>14</v>
      </c>
    </row>
    <row r="239" spans="1:18" ht="29.5" customHeight="1" x14ac:dyDescent="0.2">
      <c r="A239" s="10" t="s">
        <v>1059</v>
      </c>
      <c r="B239" s="11" t="s">
        <v>1060</v>
      </c>
      <c r="C239" s="10" t="s">
        <v>1061</v>
      </c>
      <c r="D239" s="10" t="s">
        <v>1061</v>
      </c>
      <c r="E239" s="10" t="s">
        <v>1062</v>
      </c>
      <c r="F239" s="10" t="s">
        <v>21</v>
      </c>
      <c r="G239" s="10" t="s">
        <v>79</v>
      </c>
      <c r="H239" s="10" t="s">
        <v>56</v>
      </c>
      <c r="I239" s="10" t="str">
        <f>HYPERLINK("http://fasterishoes.com/","fasterishoes.com")</f>
        <v>fasterishoes.com</v>
      </c>
      <c r="J239" s="12">
        <v>1354.2280000000001</v>
      </c>
      <c r="K239" s="12">
        <v>1354.2280000000001</v>
      </c>
      <c r="L239" s="12">
        <v>1281.317</v>
      </c>
      <c r="M239" s="12">
        <v>12.167999999999999</v>
      </c>
      <c r="N239" s="12">
        <v>12.167999999999999</v>
      </c>
      <c r="O239" s="12">
        <v>10.036</v>
      </c>
      <c r="P239" s="12">
        <v>8</v>
      </c>
      <c r="Q239" s="12">
        <v>8</v>
      </c>
      <c r="R239" s="12">
        <v>7</v>
      </c>
    </row>
    <row r="240" spans="1:18" ht="17" customHeight="1" x14ac:dyDescent="0.2">
      <c r="A240" s="5" t="s">
        <v>1063</v>
      </c>
      <c r="B240" s="6" t="s">
        <v>1064</v>
      </c>
      <c r="C240" s="5" t="s">
        <v>1065</v>
      </c>
      <c r="D240" s="5" t="s">
        <v>1065</v>
      </c>
      <c r="E240" s="5" t="s">
        <v>1066</v>
      </c>
      <c r="F240" s="5" t="s">
        <v>41</v>
      </c>
      <c r="G240" s="5" t="s">
        <v>79</v>
      </c>
      <c r="H240" s="5" t="s">
        <v>56</v>
      </c>
      <c r="I240" s="5" t="str">
        <f>HYPERLINK("http://www.suolificiopres.it/","www.suolificiopres.it")</f>
        <v>www.suolificiopres.it</v>
      </c>
      <c r="J240" s="7">
        <v>1545.7280000000001</v>
      </c>
      <c r="K240" s="7">
        <v>1545.7280000000001</v>
      </c>
      <c r="L240" s="8">
        <v>1281.0809999999999</v>
      </c>
      <c r="M240" s="7">
        <v>85.203000000000003</v>
      </c>
      <c r="N240" s="7">
        <v>85.203000000000003</v>
      </c>
      <c r="O240" s="7">
        <v>32.305999999999997</v>
      </c>
      <c r="P240" s="7">
        <v>8</v>
      </c>
      <c r="Q240" s="7">
        <v>8</v>
      </c>
      <c r="R240" s="7">
        <v>7</v>
      </c>
    </row>
    <row r="241" spans="1:18" ht="17" customHeight="1" x14ac:dyDescent="0.2">
      <c r="A241" s="10" t="s">
        <v>1067</v>
      </c>
      <c r="B241" s="11" t="s">
        <v>1068</v>
      </c>
      <c r="C241" s="10" t="s">
        <v>1069</v>
      </c>
      <c r="D241" s="10" t="s">
        <v>1069</v>
      </c>
      <c r="E241" s="10" t="s">
        <v>1070</v>
      </c>
      <c r="F241" s="10" t="s">
        <v>54</v>
      </c>
      <c r="G241" s="10" t="s">
        <v>79</v>
      </c>
      <c r="H241" s="10" t="s">
        <v>56</v>
      </c>
      <c r="I241" s="10" t="str">
        <f>HYPERLINK("http://www.suolificiogl.com/","www.suolificiogl.com")</f>
        <v>www.suolificiogl.com</v>
      </c>
      <c r="J241" s="12">
        <v>1268.645</v>
      </c>
      <c r="K241" s="12">
        <v>1268.645</v>
      </c>
      <c r="L241" s="12">
        <v>1277.923</v>
      </c>
      <c r="M241" s="12">
        <v>253.13499999999999</v>
      </c>
      <c r="N241" s="12">
        <v>253.13499999999999</v>
      </c>
      <c r="O241" s="12">
        <v>143.49799999999999</v>
      </c>
      <c r="P241" s="12">
        <v>10</v>
      </c>
      <c r="Q241" s="12">
        <v>10</v>
      </c>
      <c r="R241" s="12">
        <v>10</v>
      </c>
    </row>
    <row r="242" spans="1:18" ht="17" customHeight="1" x14ac:dyDescent="0.2">
      <c r="A242" s="5" t="s">
        <v>1071</v>
      </c>
      <c r="B242" s="6" t="s">
        <v>1072</v>
      </c>
      <c r="C242" s="5" t="s">
        <v>1073</v>
      </c>
      <c r="D242" s="5" t="s">
        <v>1073</v>
      </c>
      <c r="E242" s="5" t="s">
        <v>1074</v>
      </c>
      <c r="F242" s="5" t="s">
        <v>114</v>
      </c>
      <c r="G242" s="5" t="s">
        <v>247</v>
      </c>
      <c r="H242" s="5" t="s">
        <v>74</v>
      </c>
      <c r="I242" s="5" t="str">
        <f>HYPERLINK("http://www.confezionigrazia.it/","www.confezionigrazia.it")</f>
        <v>www.confezionigrazia.it</v>
      </c>
      <c r="J242" s="7">
        <v>1792.4649999999999</v>
      </c>
      <c r="K242" s="7">
        <v>1792.4649999999999</v>
      </c>
      <c r="L242" s="8">
        <v>1276.6969999999999</v>
      </c>
      <c r="M242" s="7">
        <v>22.564</v>
      </c>
      <c r="N242" s="7">
        <v>22.564</v>
      </c>
      <c r="O242" s="7">
        <v>7.61</v>
      </c>
      <c r="P242" s="7">
        <v>13</v>
      </c>
      <c r="Q242" s="7">
        <v>13</v>
      </c>
      <c r="R242" s="7">
        <v>13</v>
      </c>
    </row>
    <row r="243" spans="1:18" ht="17" customHeight="1" x14ac:dyDescent="0.2">
      <c r="A243" s="10" t="s">
        <v>1075</v>
      </c>
      <c r="B243" s="11" t="s">
        <v>1076</v>
      </c>
      <c r="C243" s="10" t="s">
        <v>1077</v>
      </c>
      <c r="D243" s="10" t="s">
        <v>1077</v>
      </c>
      <c r="E243" s="10" t="s">
        <v>1078</v>
      </c>
      <c r="F243" s="10" t="s">
        <v>149</v>
      </c>
      <c r="G243" s="10" t="s">
        <v>100</v>
      </c>
      <c r="H243" s="10" t="s">
        <v>62</v>
      </c>
      <c r="I243" s="10" t="str">
        <f>HYPERLINK("http://www.parah.com/","www.parah.com")</f>
        <v>www.parah.com</v>
      </c>
      <c r="J243" s="12">
        <v>1107.8810000000001</v>
      </c>
      <c r="K243" s="12">
        <v>1107.8810000000001</v>
      </c>
      <c r="L243" s="12">
        <v>1274.9770000000001</v>
      </c>
      <c r="M243" s="12">
        <v>-182.95500000000001</v>
      </c>
      <c r="N243" s="12">
        <v>-182.95500000000001</v>
      </c>
      <c r="O243" s="12">
        <v>-910.44899999999996</v>
      </c>
      <c r="P243" s="12">
        <v>8</v>
      </c>
      <c r="Q243" s="12">
        <v>8</v>
      </c>
      <c r="R243" s="12">
        <v>17</v>
      </c>
    </row>
    <row r="244" spans="1:18" ht="17" customHeight="1" x14ac:dyDescent="0.2">
      <c r="A244" s="5" t="s">
        <v>1079</v>
      </c>
      <c r="B244" s="6" t="s">
        <v>1080</v>
      </c>
      <c r="C244" s="5" t="s">
        <v>1081</v>
      </c>
      <c r="D244" s="5" t="s">
        <v>1081</v>
      </c>
      <c r="E244" s="5" t="s">
        <v>1082</v>
      </c>
      <c r="F244" s="5" t="s">
        <v>54</v>
      </c>
      <c r="G244" s="5" t="s">
        <v>79</v>
      </c>
      <c r="H244" s="5" t="s">
        <v>56</v>
      </c>
      <c r="I244" s="5" t="str">
        <f>HYPERLINK("http://www.luiginoverducci.it/","www.luiginoverducci.it")</f>
        <v>www.luiginoverducci.it</v>
      </c>
      <c r="J244" s="7">
        <v>2030.444</v>
      </c>
      <c r="K244" s="7">
        <v>2030.444</v>
      </c>
      <c r="L244" s="8">
        <v>1274.172</v>
      </c>
      <c r="M244" s="7">
        <v>172.83799999999999</v>
      </c>
      <c r="N244" s="7">
        <v>172.83799999999999</v>
      </c>
      <c r="O244" s="7">
        <v>123.961</v>
      </c>
      <c r="P244" s="7">
        <v>14</v>
      </c>
      <c r="Q244" s="7">
        <v>14</v>
      </c>
      <c r="R244" s="7">
        <v>11</v>
      </c>
    </row>
    <row r="245" spans="1:18" ht="17" customHeight="1" x14ac:dyDescent="0.2">
      <c r="A245" s="10" t="s">
        <v>1083</v>
      </c>
      <c r="B245" s="11" t="s">
        <v>1084</v>
      </c>
      <c r="C245" s="10" t="s">
        <v>1085</v>
      </c>
      <c r="D245" s="10" t="s">
        <v>1085</v>
      </c>
      <c r="E245" s="10" t="s">
        <v>1086</v>
      </c>
      <c r="F245" s="10" t="s">
        <v>114</v>
      </c>
      <c r="G245" s="10" t="s">
        <v>67</v>
      </c>
      <c r="H245" s="10" t="s">
        <v>43</v>
      </c>
      <c r="I245" s="10" t="str">
        <f>HYPERLINK("http://fragomenigroup.it/","fragomenigroup.it")</f>
        <v>fragomenigroup.it</v>
      </c>
      <c r="J245" s="12">
        <v>1307.2260000000001</v>
      </c>
      <c r="K245" s="12">
        <v>1307.2260000000001</v>
      </c>
      <c r="L245" s="12">
        <v>1272.6199999999999</v>
      </c>
      <c r="M245" s="12">
        <v>7.9569999999999999</v>
      </c>
      <c r="N245" s="12">
        <v>7.9569999999999999</v>
      </c>
      <c r="O245" s="12">
        <v>5.4249999999999998</v>
      </c>
      <c r="P245" s="12">
        <v>9</v>
      </c>
      <c r="Q245" s="12">
        <v>9</v>
      </c>
      <c r="R245" s="12">
        <v>9</v>
      </c>
    </row>
    <row r="246" spans="1:18" ht="17" customHeight="1" x14ac:dyDescent="0.2">
      <c r="A246" s="5" t="s">
        <v>1087</v>
      </c>
      <c r="B246" s="6" t="s">
        <v>1088</v>
      </c>
      <c r="C246" s="5" t="s">
        <v>1089</v>
      </c>
      <c r="D246" s="5" t="s">
        <v>1089</v>
      </c>
      <c r="E246" s="5" t="s">
        <v>1090</v>
      </c>
      <c r="F246" s="5" t="s">
        <v>21</v>
      </c>
      <c r="G246" s="5" t="s">
        <v>61</v>
      </c>
      <c r="H246" s="5" t="s">
        <v>62</v>
      </c>
      <c r="I246" s="5" t="str">
        <f>HYPERLINK("http://tonywild.it/","tonywild.it")</f>
        <v>tonywild.it</v>
      </c>
      <c r="J246" s="7">
        <v>1528.153</v>
      </c>
      <c r="K246" s="7">
        <v>1528.153</v>
      </c>
      <c r="L246" s="8">
        <v>1270.403</v>
      </c>
      <c r="M246" s="7">
        <v>193.92</v>
      </c>
      <c r="N246" s="7">
        <v>193.92</v>
      </c>
      <c r="O246" s="7">
        <v>105.47199999999999</v>
      </c>
      <c r="P246" s="9" t="s">
        <v>24</v>
      </c>
      <c r="Q246" s="9" t="s">
        <v>24</v>
      </c>
      <c r="R246" s="7">
        <v>15</v>
      </c>
    </row>
    <row r="247" spans="1:18" ht="17" customHeight="1" x14ac:dyDescent="0.2">
      <c r="A247" s="10" t="s">
        <v>1091</v>
      </c>
      <c r="B247" s="11" t="s">
        <v>1092</v>
      </c>
      <c r="C247" s="10" t="s">
        <v>1093</v>
      </c>
      <c r="D247" s="10" t="s">
        <v>1093</v>
      </c>
      <c r="E247" s="10" t="s">
        <v>1094</v>
      </c>
      <c r="F247" s="10" t="s">
        <v>41</v>
      </c>
      <c r="G247" s="10" t="s">
        <v>503</v>
      </c>
      <c r="H247" s="10" t="s">
        <v>62</v>
      </c>
      <c r="I247" s="10" t="str">
        <f>HYPERLINK("http://www.conceriaitalpelli.it/","www.conceriaitalpelli.it")</f>
        <v>www.conceriaitalpelli.it</v>
      </c>
      <c r="J247" s="12">
        <v>879.43899999999996</v>
      </c>
      <c r="K247" s="12">
        <v>879.43899999999996</v>
      </c>
      <c r="L247" s="12">
        <v>1270.2570000000001</v>
      </c>
      <c r="M247" s="12">
        <v>-126.64100000000001</v>
      </c>
      <c r="N247" s="12">
        <v>-126.64100000000001</v>
      </c>
      <c r="O247" s="12">
        <v>31.831</v>
      </c>
      <c r="P247" s="12">
        <v>3</v>
      </c>
      <c r="Q247" s="12">
        <v>3</v>
      </c>
      <c r="R247" s="12">
        <v>2</v>
      </c>
    </row>
    <row r="248" spans="1:18" ht="29.5" customHeight="1" x14ac:dyDescent="0.2">
      <c r="A248" s="5" t="s">
        <v>1095</v>
      </c>
      <c r="B248" s="6" t="s">
        <v>1096</v>
      </c>
      <c r="C248" s="5" t="s">
        <v>1097</v>
      </c>
      <c r="D248" s="5" t="s">
        <v>1097</v>
      </c>
      <c r="E248" s="5" t="s">
        <v>1098</v>
      </c>
      <c r="F248" s="5" t="s">
        <v>21</v>
      </c>
      <c r="G248" s="5" t="s">
        <v>140</v>
      </c>
      <c r="H248" s="5" t="s">
        <v>43</v>
      </c>
      <c r="I248" s="5" t="str">
        <f>HYPERLINK("http://oscarsport.com/","oscarsport.com")</f>
        <v>oscarsport.com</v>
      </c>
      <c r="J248" s="7">
        <v>812.37</v>
      </c>
      <c r="K248" s="7">
        <v>812.37</v>
      </c>
      <c r="L248" s="8">
        <v>1269.1130000000001</v>
      </c>
      <c r="M248" s="7">
        <v>-17.739000000000001</v>
      </c>
      <c r="N248" s="7">
        <v>-17.739000000000001</v>
      </c>
      <c r="O248" s="7">
        <v>218.66800000000001</v>
      </c>
      <c r="P248" s="7">
        <v>10</v>
      </c>
      <c r="Q248" s="7">
        <v>10</v>
      </c>
      <c r="R248" s="7">
        <v>10</v>
      </c>
    </row>
    <row r="249" spans="1:18" ht="17" customHeight="1" x14ac:dyDescent="0.2">
      <c r="A249" s="10" t="s">
        <v>1099</v>
      </c>
      <c r="B249" s="11" t="s">
        <v>1100</v>
      </c>
      <c r="C249" s="10" t="s">
        <v>1101</v>
      </c>
      <c r="D249" s="10" t="s">
        <v>1101</v>
      </c>
      <c r="E249" s="10" t="s">
        <v>1102</v>
      </c>
      <c r="F249" s="10" t="s">
        <v>54</v>
      </c>
      <c r="G249" s="10" t="s">
        <v>79</v>
      </c>
      <c r="H249" s="10" t="s">
        <v>56</v>
      </c>
      <c r="I249" s="10" t="str">
        <f>HYPERLINK("http://www.c3groupsrl.com/","www.c3groupsrl.com")</f>
        <v>www.c3groupsrl.com</v>
      </c>
      <c r="J249" s="12">
        <v>769.43899999999996</v>
      </c>
      <c r="K249" s="12">
        <v>769.43899999999996</v>
      </c>
      <c r="L249" s="12">
        <v>1268.355</v>
      </c>
      <c r="M249" s="12">
        <v>11.211</v>
      </c>
      <c r="N249" s="12">
        <v>11.211</v>
      </c>
      <c r="O249" s="12">
        <v>87.605000000000004</v>
      </c>
      <c r="P249" s="12">
        <v>6</v>
      </c>
      <c r="Q249" s="12">
        <v>6</v>
      </c>
      <c r="R249" s="12">
        <v>7</v>
      </c>
    </row>
    <row r="250" spans="1:18" ht="17" customHeight="1" x14ac:dyDescent="0.2">
      <c r="A250" s="5" t="s">
        <v>1103</v>
      </c>
      <c r="B250" s="6" t="s">
        <v>1104</v>
      </c>
      <c r="C250" s="5" t="s">
        <v>1105</v>
      </c>
      <c r="D250" s="5" t="s">
        <v>1105</v>
      </c>
      <c r="E250" s="5" t="s">
        <v>1106</v>
      </c>
      <c r="F250" s="5" t="s">
        <v>41</v>
      </c>
      <c r="G250" s="5" t="s">
        <v>224</v>
      </c>
      <c r="H250" s="5" t="s">
        <v>23</v>
      </c>
      <c r="I250" s="5" t="str">
        <f>HYPERLINK("http://www.ascotspa.it/","http://www.ascotspa.it")</f>
        <v>http://www.ascotspa.it</v>
      </c>
      <c r="J250" s="7">
        <v>848.39700000000005</v>
      </c>
      <c r="K250" s="7">
        <v>848.39700000000005</v>
      </c>
      <c r="L250" s="8">
        <v>1268.297</v>
      </c>
      <c r="M250" s="7">
        <v>-263.33100000000002</v>
      </c>
      <c r="N250" s="7">
        <v>-263.33100000000002</v>
      </c>
      <c r="O250" s="7">
        <v>-909.947</v>
      </c>
      <c r="P250" s="7">
        <v>8</v>
      </c>
      <c r="Q250" s="7">
        <v>8</v>
      </c>
      <c r="R250" s="7">
        <v>8</v>
      </c>
    </row>
    <row r="251" spans="1:18" ht="17" customHeight="1" x14ac:dyDescent="0.2">
      <c r="A251" s="10" t="s">
        <v>1107</v>
      </c>
      <c r="B251" s="11" t="s">
        <v>1108</v>
      </c>
      <c r="C251" s="10" t="s">
        <v>1109</v>
      </c>
      <c r="D251" s="10" t="s">
        <v>1109</v>
      </c>
      <c r="E251" s="10" t="s">
        <v>1110</v>
      </c>
      <c r="F251" s="10" t="s">
        <v>21</v>
      </c>
      <c r="G251" s="10" t="s">
        <v>797</v>
      </c>
      <c r="H251" s="10" t="s">
        <v>299</v>
      </c>
      <c r="I251" s="10" t="str">
        <f>HYPERLINK("http://www.alevimilano.com/","www.alevimilano.com")</f>
        <v>www.alevimilano.com</v>
      </c>
      <c r="J251" s="12">
        <v>2093.085</v>
      </c>
      <c r="K251" s="12">
        <v>2093.085</v>
      </c>
      <c r="L251" s="12">
        <v>1267.9929999999999</v>
      </c>
      <c r="M251" s="12">
        <v>374.37200000000001</v>
      </c>
      <c r="N251" s="12">
        <v>374.37200000000001</v>
      </c>
      <c r="O251" s="12">
        <v>225.45</v>
      </c>
      <c r="P251" s="13" t="s">
        <v>24</v>
      </c>
      <c r="Q251" s="13" t="s">
        <v>24</v>
      </c>
      <c r="R251" s="12">
        <v>1</v>
      </c>
    </row>
    <row r="252" spans="1:18" ht="17" customHeight="1" x14ac:dyDescent="0.2">
      <c r="A252" s="5" t="s">
        <v>1111</v>
      </c>
      <c r="B252" s="6" t="s">
        <v>1112</v>
      </c>
      <c r="C252" s="5" t="s">
        <v>1113</v>
      </c>
      <c r="D252" s="5" t="s">
        <v>1113</v>
      </c>
      <c r="E252" s="5" t="s">
        <v>1114</v>
      </c>
      <c r="F252" s="5" t="s">
        <v>48</v>
      </c>
      <c r="G252" s="5" t="s">
        <v>100</v>
      </c>
      <c r="H252" s="5" t="s">
        <v>62</v>
      </c>
      <c r="I252" s="5" t="str">
        <f>HYPERLINK("http://www.sevenpelletteria.it/","www.sevenpelletteria.it")</f>
        <v>www.sevenpelletteria.it</v>
      </c>
      <c r="J252" s="7">
        <v>1313.498</v>
      </c>
      <c r="K252" s="7">
        <v>1313.498</v>
      </c>
      <c r="L252" s="8">
        <v>1266.681</v>
      </c>
      <c r="M252" s="7">
        <v>253.00399999999999</v>
      </c>
      <c r="N252" s="7">
        <v>253.00399999999999</v>
      </c>
      <c r="O252" s="7">
        <v>267.18099999999998</v>
      </c>
      <c r="P252" s="9" t="s">
        <v>24</v>
      </c>
      <c r="Q252" s="9" t="s">
        <v>24</v>
      </c>
      <c r="R252" s="7">
        <v>33</v>
      </c>
    </row>
    <row r="253" spans="1:18" ht="17" customHeight="1" x14ac:dyDescent="0.2">
      <c r="A253" s="10" t="s">
        <v>1115</v>
      </c>
      <c r="B253" s="11" t="s">
        <v>1116</v>
      </c>
      <c r="C253" s="10" t="s">
        <v>1117</v>
      </c>
      <c r="D253" s="10" t="s">
        <v>1117</v>
      </c>
      <c r="E253" s="10" t="s">
        <v>1118</v>
      </c>
      <c r="F253" s="10" t="s">
        <v>114</v>
      </c>
      <c r="G253" s="10" t="s">
        <v>120</v>
      </c>
      <c r="H253" s="10" t="s">
        <v>121</v>
      </c>
      <c r="I253" s="10" t="str">
        <f>HYPERLINK("http://www.rgsdiffusion.it/","www.rgsdiffusion.it")</f>
        <v>www.rgsdiffusion.it</v>
      </c>
      <c r="J253" s="12">
        <v>1265.626</v>
      </c>
      <c r="K253" s="13" t="s">
        <v>24</v>
      </c>
      <c r="L253" s="12">
        <v>1265.626</v>
      </c>
      <c r="M253" s="12">
        <v>97.966999999999999</v>
      </c>
      <c r="N253" s="13" t="s">
        <v>24</v>
      </c>
      <c r="O253" s="12">
        <v>97.966999999999999</v>
      </c>
      <c r="P253" s="12">
        <v>2</v>
      </c>
      <c r="Q253" s="13" t="s">
        <v>24</v>
      </c>
      <c r="R253" s="12">
        <v>2</v>
      </c>
    </row>
    <row r="254" spans="1:18" ht="17" customHeight="1" x14ac:dyDescent="0.2">
      <c r="A254" s="5" t="s">
        <v>1119</v>
      </c>
      <c r="B254" s="6" t="s">
        <v>1120</v>
      </c>
      <c r="C254" s="5" t="s">
        <v>1121</v>
      </c>
      <c r="D254" s="5" t="s">
        <v>1121</v>
      </c>
      <c r="E254" s="5" t="s">
        <v>1122</v>
      </c>
      <c r="F254" s="5" t="s">
        <v>105</v>
      </c>
      <c r="G254" s="5" t="s">
        <v>42</v>
      </c>
      <c r="H254" s="5" t="s">
        <v>43</v>
      </c>
      <c r="I254" s="5" t="str">
        <f>HYPERLINK("http://brandingpro.it/","brandingpro.it")</f>
        <v>brandingpro.it</v>
      </c>
      <c r="J254" s="7">
        <v>1652.9770000000001</v>
      </c>
      <c r="K254" s="7">
        <v>1652.9770000000001</v>
      </c>
      <c r="L254" s="8">
        <v>1264.9639999999999</v>
      </c>
      <c r="M254" s="7">
        <v>11.32</v>
      </c>
      <c r="N254" s="7">
        <v>11.32</v>
      </c>
      <c r="O254" s="7">
        <v>3.9569999999999999</v>
      </c>
      <c r="P254" s="9" t="s">
        <v>24</v>
      </c>
      <c r="Q254" s="9" t="s">
        <v>24</v>
      </c>
      <c r="R254" s="7">
        <v>8</v>
      </c>
    </row>
    <row r="255" spans="1:18" ht="17" customHeight="1" x14ac:dyDescent="0.2">
      <c r="A255" s="10" t="s">
        <v>1123</v>
      </c>
      <c r="B255" s="11" t="s">
        <v>1124</v>
      </c>
      <c r="C255" s="10" t="s">
        <v>1125</v>
      </c>
      <c r="D255" s="10" t="s">
        <v>1125</v>
      </c>
      <c r="E255" s="10" t="s">
        <v>1126</v>
      </c>
      <c r="F255" s="10" t="s">
        <v>114</v>
      </c>
      <c r="G255" s="10" t="s">
        <v>190</v>
      </c>
      <c r="H255" s="10" t="s">
        <v>74</v>
      </c>
      <c r="I255" s="10" t="str">
        <f>HYPERLINK("http://www.magmoda.it/","http://www.magmoda.it")</f>
        <v>http://www.magmoda.it</v>
      </c>
      <c r="J255" s="12">
        <v>1408.7380000000001</v>
      </c>
      <c r="K255" s="12">
        <v>1408.7380000000001</v>
      </c>
      <c r="L255" s="12">
        <v>1261.97</v>
      </c>
      <c r="M255" s="12">
        <v>10.456</v>
      </c>
      <c r="N255" s="12">
        <v>10.456</v>
      </c>
      <c r="O255" s="12">
        <v>6.8109999999999999</v>
      </c>
      <c r="P255" s="13" t="s">
        <v>24</v>
      </c>
      <c r="Q255" s="13" t="s">
        <v>24</v>
      </c>
      <c r="R255" s="12">
        <v>7</v>
      </c>
    </row>
    <row r="256" spans="1:18" ht="17" customHeight="1" x14ac:dyDescent="0.2">
      <c r="A256" s="5" t="s">
        <v>1127</v>
      </c>
      <c r="B256" s="6" t="s">
        <v>1128</v>
      </c>
      <c r="C256" s="5" t="s">
        <v>1129</v>
      </c>
      <c r="D256" s="5" t="s">
        <v>1129</v>
      </c>
      <c r="E256" s="5" t="s">
        <v>1130</v>
      </c>
      <c r="F256" s="5" t="s">
        <v>462</v>
      </c>
      <c r="G256" s="5" t="s">
        <v>1131</v>
      </c>
      <c r="H256" s="5" t="s">
        <v>1132</v>
      </c>
      <c r="I256" s="5" t="str">
        <f>HYPERLINK("http://www.monsignor.it/","www.monsignor.it")</f>
        <v>www.monsignor.it</v>
      </c>
      <c r="J256" s="7">
        <v>1262.0930000000001</v>
      </c>
      <c r="K256" s="7">
        <v>1262.0930000000001</v>
      </c>
      <c r="L256" s="8">
        <v>1260.5250000000001</v>
      </c>
      <c r="M256" s="7">
        <v>109.346</v>
      </c>
      <c r="N256" s="7">
        <v>109.346</v>
      </c>
      <c r="O256" s="7">
        <v>50.481000000000002</v>
      </c>
      <c r="P256" s="7">
        <v>9</v>
      </c>
      <c r="Q256" s="7">
        <v>9</v>
      </c>
      <c r="R256" s="7">
        <v>9</v>
      </c>
    </row>
    <row r="257" spans="1:18" ht="17" customHeight="1" x14ac:dyDescent="0.2">
      <c r="A257" s="10" t="s">
        <v>1133</v>
      </c>
      <c r="B257" s="11" t="s">
        <v>1134</v>
      </c>
      <c r="C257" s="10" t="s">
        <v>1135</v>
      </c>
      <c r="D257" s="10" t="s">
        <v>1135</v>
      </c>
      <c r="E257" s="10" t="s">
        <v>1136</v>
      </c>
      <c r="F257" s="10" t="s">
        <v>114</v>
      </c>
      <c r="G257" s="10" t="s">
        <v>298</v>
      </c>
      <c r="H257" s="10" t="s">
        <v>299</v>
      </c>
      <c r="I257" s="10" t="str">
        <f>HYPERLINK("http://www.empressmore.com/","www.empressmore.com")</f>
        <v>www.empressmore.com</v>
      </c>
      <c r="J257" s="12">
        <v>1132.701</v>
      </c>
      <c r="K257" s="12">
        <v>1132.701</v>
      </c>
      <c r="L257" s="12">
        <v>1259.2670000000001</v>
      </c>
      <c r="M257" s="12">
        <v>6.524</v>
      </c>
      <c r="N257" s="12">
        <v>6.524</v>
      </c>
      <c r="O257" s="12">
        <v>10.590999999999999</v>
      </c>
      <c r="P257" s="12">
        <v>6</v>
      </c>
      <c r="Q257" s="12">
        <v>6</v>
      </c>
      <c r="R257" s="12">
        <v>3</v>
      </c>
    </row>
    <row r="258" spans="1:18" ht="17" customHeight="1" x14ac:dyDescent="0.2">
      <c r="A258" s="5" t="s">
        <v>1137</v>
      </c>
      <c r="B258" s="6" t="s">
        <v>1138</v>
      </c>
      <c r="C258" s="5" t="s">
        <v>1139</v>
      </c>
      <c r="D258" s="5" t="s">
        <v>1139</v>
      </c>
      <c r="E258" s="5" t="s">
        <v>1140</v>
      </c>
      <c r="F258" s="5" t="s">
        <v>114</v>
      </c>
      <c r="G258" s="5" t="s">
        <v>843</v>
      </c>
      <c r="H258" s="5" t="s">
        <v>299</v>
      </c>
      <c r="I258" s="5" t="str">
        <f>HYPERLINK("http://www.ruebisquit.com/","www.ruebisquit.com")</f>
        <v>www.ruebisquit.com</v>
      </c>
      <c r="J258" s="7">
        <v>1676.883</v>
      </c>
      <c r="K258" s="7">
        <v>1676.883</v>
      </c>
      <c r="L258" s="8">
        <v>1257.1189999999999</v>
      </c>
      <c r="M258" s="7">
        <v>-744.71299999999997</v>
      </c>
      <c r="N258" s="7">
        <v>-744.71299999999997</v>
      </c>
      <c r="O258" s="7">
        <v>14.738</v>
      </c>
      <c r="P258" s="7">
        <v>8</v>
      </c>
      <c r="Q258" s="7">
        <v>8</v>
      </c>
      <c r="R258" s="7">
        <v>11</v>
      </c>
    </row>
    <row r="259" spans="1:18" ht="17" customHeight="1" x14ac:dyDescent="0.2">
      <c r="A259" s="10" t="s">
        <v>1141</v>
      </c>
      <c r="B259" s="11" t="s">
        <v>1142</v>
      </c>
      <c r="C259" s="10" t="s">
        <v>1143</v>
      </c>
      <c r="D259" s="10" t="s">
        <v>1143</v>
      </c>
      <c r="E259" s="10" t="s">
        <v>1144</v>
      </c>
      <c r="F259" s="10" t="s">
        <v>48</v>
      </c>
      <c r="G259" s="10" t="s">
        <v>100</v>
      </c>
      <c r="H259" s="10" t="s">
        <v>62</v>
      </c>
      <c r="I259" s="10" t="str">
        <f>HYPERLINK("http://www.bottegadelcuoio.com/","www.bottegadelcuoio.com")</f>
        <v>www.bottegadelcuoio.com</v>
      </c>
      <c r="J259" s="12">
        <v>1651.7940000000001</v>
      </c>
      <c r="K259" s="12">
        <v>1651.7940000000001</v>
      </c>
      <c r="L259" s="12">
        <v>1255.807</v>
      </c>
      <c r="M259" s="12">
        <v>80.396000000000001</v>
      </c>
      <c r="N259" s="12">
        <v>80.396000000000001</v>
      </c>
      <c r="O259" s="12">
        <v>32.725000000000001</v>
      </c>
      <c r="P259" s="12">
        <v>23</v>
      </c>
      <c r="Q259" s="12">
        <v>23</v>
      </c>
      <c r="R259" s="12">
        <v>21</v>
      </c>
    </row>
    <row r="260" spans="1:18" ht="17" customHeight="1" x14ac:dyDescent="0.2">
      <c r="A260" s="5" t="s">
        <v>1145</v>
      </c>
      <c r="B260" s="6" t="s">
        <v>1146</v>
      </c>
      <c r="C260" s="5" t="s">
        <v>1147</v>
      </c>
      <c r="D260" s="5" t="s">
        <v>1147</v>
      </c>
      <c r="E260" s="5" t="s">
        <v>1148</v>
      </c>
      <c r="F260" s="5" t="s">
        <v>54</v>
      </c>
      <c r="G260" s="5" t="s">
        <v>224</v>
      </c>
      <c r="H260" s="5" t="s">
        <v>23</v>
      </c>
      <c r="I260" s="5" t="str">
        <f>HYPERLINK("http://www.noves.it/","www.noves.it")</f>
        <v>www.noves.it</v>
      </c>
      <c r="J260" s="7">
        <v>1222.98</v>
      </c>
      <c r="K260" s="7">
        <v>1222.98</v>
      </c>
      <c r="L260" s="8">
        <v>1254.442</v>
      </c>
      <c r="M260" s="7">
        <v>55.014000000000003</v>
      </c>
      <c r="N260" s="7">
        <v>55.014000000000003</v>
      </c>
      <c r="O260" s="7">
        <v>143.78200000000001</v>
      </c>
      <c r="P260" s="7">
        <v>7</v>
      </c>
      <c r="Q260" s="7">
        <v>7</v>
      </c>
      <c r="R260" s="7">
        <v>8</v>
      </c>
    </row>
    <row r="261" spans="1:18" ht="17" customHeight="1" x14ac:dyDescent="0.2">
      <c r="A261" s="10" t="s">
        <v>1149</v>
      </c>
      <c r="B261" s="11" t="s">
        <v>1150</v>
      </c>
      <c r="C261" s="10" t="s">
        <v>1151</v>
      </c>
      <c r="D261" s="10" t="s">
        <v>1151</v>
      </c>
      <c r="E261" s="10" t="s">
        <v>1152</v>
      </c>
      <c r="F261" s="10" t="s">
        <v>48</v>
      </c>
      <c r="G261" s="10" t="s">
        <v>61</v>
      </c>
      <c r="H261" s="10" t="s">
        <v>62</v>
      </c>
      <c r="I261" s="10" t="str">
        <f>HYPERLINK("http://www.simplemen.it/","www.simplemen.it")</f>
        <v>www.simplemen.it</v>
      </c>
      <c r="J261" s="12">
        <v>1301.1559999999999</v>
      </c>
      <c r="K261" s="12">
        <v>1301.1559999999999</v>
      </c>
      <c r="L261" s="12">
        <v>1254.1489999999999</v>
      </c>
      <c r="M261" s="12">
        <v>39.963999999999999</v>
      </c>
      <c r="N261" s="12">
        <v>39.963999999999999</v>
      </c>
      <c r="O261" s="12">
        <v>47.872</v>
      </c>
      <c r="P261" s="12">
        <v>30</v>
      </c>
      <c r="Q261" s="12">
        <v>30</v>
      </c>
      <c r="R261" s="12">
        <v>21</v>
      </c>
    </row>
    <row r="262" spans="1:18" ht="17" customHeight="1" x14ac:dyDescent="0.2">
      <c r="A262" s="5" t="s">
        <v>1153</v>
      </c>
      <c r="B262" s="6" t="s">
        <v>1154</v>
      </c>
      <c r="C262" s="5" t="s">
        <v>1155</v>
      </c>
      <c r="D262" s="5" t="s">
        <v>1155</v>
      </c>
      <c r="E262" s="5" t="s">
        <v>1156</v>
      </c>
      <c r="F262" s="5" t="s">
        <v>134</v>
      </c>
      <c r="G262" s="5" t="s">
        <v>1157</v>
      </c>
      <c r="H262" s="5" t="s">
        <v>1158</v>
      </c>
      <c r="I262" s="5" t="str">
        <f>HYPERLINK("http://www.cleofefinati.com/","www.cleofefinati.com")</f>
        <v>www.cleofefinati.com</v>
      </c>
      <c r="J262" s="7">
        <v>1364.519</v>
      </c>
      <c r="K262" s="7">
        <v>1364.519</v>
      </c>
      <c r="L262" s="8">
        <v>1253.53</v>
      </c>
      <c r="M262" s="7">
        <v>10.385999999999999</v>
      </c>
      <c r="N262" s="7">
        <v>10.385999999999999</v>
      </c>
      <c r="O262" s="7">
        <v>12.895</v>
      </c>
      <c r="P262" s="7">
        <v>3</v>
      </c>
      <c r="Q262" s="7">
        <v>3</v>
      </c>
      <c r="R262" s="7">
        <v>4</v>
      </c>
    </row>
    <row r="263" spans="1:18" ht="17" customHeight="1" x14ac:dyDescent="0.2">
      <c r="A263" s="10" t="s">
        <v>1159</v>
      </c>
      <c r="B263" s="11" t="s">
        <v>1160</v>
      </c>
      <c r="C263" s="10" t="s">
        <v>1161</v>
      </c>
      <c r="D263" s="10" t="s">
        <v>1161</v>
      </c>
      <c r="E263" s="10" t="s">
        <v>1162</v>
      </c>
      <c r="F263" s="10" t="s">
        <v>41</v>
      </c>
      <c r="G263" s="10" t="s">
        <v>224</v>
      </c>
      <c r="H263" s="10" t="s">
        <v>23</v>
      </c>
      <c r="I263" s="10" t="str">
        <f>HYPERLINK("http://www.spaccatricepiave.it/","www.spaccatricepiave.it")</f>
        <v>www.spaccatricepiave.it</v>
      </c>
      <c r="J263" s="12">
        <v>1251.5640000000001</v>
      </c>
      <c r="K263" s="12">
        <v>1251.5640000000001</v>
      </c>
      <c r="L263" s="12">
        <v>1252.1679999999999</v>
      </c>
      <c r="M263" s="12">
        <v>15.151</v>
      </c>
      <c r="N263" s="12">
        <v>15.151</v>
      </c>
      <c r="O263" s="12">
        <v>-1.8959999999999999</v>
      </c>
      <c r="P263" s="12">
        <v>15</v>
      </c>
      <c r="Q263" s="12">
        <v>15</v>
      </c>
      <c r="R263" s="12">
        <v>15</v>
      </c>
    </row>
    <row r="264" spans="1:18" ht="17" customHeight="1" x14ac:dyDescent="0.2">
      <c r="A264" s="5" t="s">
        <v>1163</v>
      </c>
      <c r="B264" s="6" t="s">
        <v>1164</v>
      </c>
      <c r="C264" s="5" t="s">
        <v>1165</v>
      </c>
      <c r="D264" s="5" t="s">
        <v>1166</v>
      </c>
      <c r="E264" s="5" t="s">
        <v>1167</v>
      </c>
      <c r="F264" s="5" t="s">
        <v>252</v>
      </c>
      <c r="G264" s="5" t="s">
        <v>115</v>
      </c>
      <c r="H264" s="5" t="s">
        <v>43</v>
      </c>
      <c r="I264" s="5" t="str">
        <f>HYPERLINK("http://www.mediasoft.it/agnense","www.mediasoft.it/agnense")</f>
        <v>www.mediasoft.it/agnense</v>
      </c>
      <c r="J264" s="7">
        <v>1094.8879999999999</v>
      </c>
      <c r="K264" s="7">
        <v>1094.8879999999999</v>
      </c>
      <c r="L264" s="8">
        <v>1251.827</v>
      </c>
      <c r="M264" s="7">
        <v>242.86699999999999</v>
      </c>
      <c r="N264" s="7">
        <v>242.86699999999999</v>
      </c>
      <c r="O264" s="7">
        <v>127.559</v>
      </c>
      <c r="P264" s="7">
        <v>14</v>
      </c>
      <c r="Q264" s="7">
        <v>14</v>
      </c>
      <c r="R264" s="7">
        <v>13</v>
      </c>
    </row>
    <row r="265" spans="1:18" ht="17" customHeight="1" x14ac:dyDescent="0.2">
      <c r="A265" s="10" t="s">
        <v>1168</v>
      </c>
      <c r="B265" s="11" t="s">
        <v>1169</v>
      </c>
      <c r="C265" s="10" t="s">
        <v>1170</v>
      </c>
      <c r="D265" s="10" t="s">
        <v>1170</v>
      </c>
      <c r="E265" s="10" t="s">
        <v>1171</v>
      </c>
      <c r="F265" s="10" t="s">
        <v>29</v>
      </c>
      <c r="G265" s="10" t="s">
        <v>100</v>
      </c>
      <c r="H265" s="10" t="s">
        <v>62</v>
      </c>
      <c r="I265" s="10" t="str">
        <f>HYPERLINK("http://www.camillamilano.it/","www.camillamilano.it")</f>
        <v>www.camillamilano.it</v>
      </c>
      <c r="J265" s="12">
        <v>1593.08</v>
      </c>
      <c r="K265" s="12">
        <v>1593.08</v>
      </c>
      <c r="L265" s="12">
        <v>1251.317</v>
      </c>
      <c r="M265" s="12">
        <v>43.328000000000003</v>
      </c>
      <c r="N265" s="12">
        <v>43.328000000000003</v>
      </c>
      <c r="O265" s="12">
        <v>15.855</v>
      </c>
      <c r="P265" s="13" t="s">
        <v>24</v>
      </c>
      <c r="Q265" s="13" t="s">
        <v>24</v>
      </c>
      <c r="R265" s="12">
        <v>11</v>
      </c>
    </row>
    <row r="266" spans="1:18" ht="17" customHeight="1" x14ac:dyDescent="0.2">
      <c r="A266" s="5" t="s">
        <v>1172</v>
      </c>
      <c r="B266" s="6" t="s">
        <v>1173</v>
      </c>
      <c r="C266" s="5" t="s">
        <v>1174</v>
      </c>
      <c r="D266" s="5" t="s">
        <v>1174</v>
      </c>
      <c r="E266" s="5" t="s">
        <v>1175</v>
      </c>
      <c r="F266" s="5" t="s">
        <v>114</v>
      </c>
      <c r="G266" s="5" t="s">
        <v>718</v>
      </c>
      <c r="H266" s="5" t="s">
        <v>31</v>
      </c>
      <c r="I266" s="5" t="str">
        <f>HYPERLINK("http://compagniadelcachemire.com/","compagniadelcachemire.com")</f>
        <v>compagniadelcachemire.com</v>
      </c>
      <c r="J266" s="7">
        <v>675.995</v>
      </c>
      <c r="K266" s="7">
        <v>675.995</v>
      </c>
      <c r="L266" s="8">
        <v>1250.8879999999999</v>
      </c>
      <c r="M266" s="7">
        <v>1.7589999999999999</v>
      </c>
      <c r="N266" s="7">
        <v>1.7589999999999999</v>
      </c>
      <c r="O266" s="7">
        <v>10.654999999999999</v>
      </c>
      <c r="P266" s="7">
        <v>3</v>
      </c>
      <c r="Q266" s="7">
        <v>3</v>
      </c>
      <c r="R266" s="7">
        <v>1</v>
      </c>
    </row>
    <row r="267" spans="1:18" ht="17" customHeight="1" x14ac:dyDescent="0.2">
      <c r="A267" s="10" t="s">
        <v>1176</v>
      </c>
      <c r="B267" s="11" t="s">
        <v>1177</v>
      </c>
      <c r="C267" s="10" t="s">
        <v>1178</v>
      </c>
      <c r="D267" s="10" t="s">
        <v>1178</v>
      </c>
      <c r="E267" s="10" t="s">
        <v>1179</v>
      </c>
      <c r="F267" s="10" t="s">
        <v>114</v>
      </c>
      <c r="G267" s="10" t="s">
        <v>140</v>
      </c>
      <c r="H267" s="10" t="s">
        <v>43</v>
      </c>
      <c r="I267" s="10" t="str">
        <f>HYPERLINK("http://www.makeinitaly.eu/","www.makeinitaly.eu")</f>
        <v>www.makeinitaly.eu</v>
      </c>
      <c r="J267" s="12">
        <v>495.21899999999999</v>
      </c>
      <c r="K267" s="12">
        <v>495.21899999999999</v>
      </c>
      <c r="L267" s="12">
        <v>1248.623</v>
      </c>
      <c r="M267" s="12">
        <v>-274.05399999999997</v>
      </c>
      <c r="N267" s="12">
        <v>-274.05399999999997</v>
      </c>
      <c r="O267" s="12">
        <v>170.191</v>
      </c>
      <c r="P267" s="13" t="s">
        <v>24</v>
      </c>
      <c r="Q267" s="13" t="s">
        <v>24</v>
      </c>
      <c r="R267" s="12">
        <v>7</v>
      </c>
    </row>
    <row r="268" spans="1:18" ht="17" customHeight="1" x14ac:dyDescent="0.2">
      <c r="A268" s="5" t="s">
        <v>1180</v>
      </c>
      <c r="B268" s="6" t="s">
        <v>1181</v>
      </c>
      <c r="C268" s="5" t="s">
        <v>1182</v>
      </c>
      <c r="D268" s="5" t="s">
        <v>1182</v>
      </c>
      <c r="E268" s="5" t="s">
        <v>1183</v>
      </c>
      <c r="F268" s="5" t="s">
        <v>149</v>
      </c>
      <c r="G268" s="5" t="s">
        <v>36</v>
      </c>
      <c r="H268" s="5" t="s">
        <v>23</v>
      </c>
      <c r="I268" s="5" t="str">
        <f>HYPERLINK("http://www.corlab.it/","www.corlab.it")</f>
        <v>www.corlab.it</v>
      </c>
      <c r="J268" s="7">
        <v>1049.856</v>
      </c>
      <c r="K268" s="7">
        <v>1049.856</v>
      </c>
      <c r="L268" s="8">
        <v>1248.0550000000001</v>
      </c>
      <c r="M268" s="7">
        <v>-15.535</v>
      </c>
      <c r="N268" s="7">
        <v>-15.535</v>
      </c>
      <c r="O268" s="7">
        <v>10.441000000000001</v>
      </c>
      <c r="P268" s="7">
        <v>23</v>
      </c>
      <c r="Q268" s="7">
        <v>23</v>
      </c>
      <c r="R268" s="7">
        <v>21</v>
      </c>
    </row>
    <row r="269" spans="1:18" ht="17" customHeight="1" x14ac:dyDescent="0.2">
      <c r="A269" s="10" t="s">
        <v>1184</v>
      </c>
      <c r="B269" s="11" t="s">
        <v>1185</v>
      </c>
      <c r="C269" s="10" t="s">
        <v>1186</v>
      </c>
      <c r="D269" s="10" t="s">
        <v>1186</v>
      </c>
      <c r="E269" s="10" t="s">
        <v>1187</v>
      </c>
      <c r="F269" s="10" t="s">
        <v>181</v>
      </c>
      <c r="G269" s="10" t="s">
        <v>308</v>
      </c>
      <c r="H269" s="10" t="s">
        <v>299</v>
      </c>
      <c r="I269" s="10" t="str">
        <f>HYPERLINK("http://www.focus-group.it/","http://www.focus-group.it")</f>
        <v>http://www.focus-group.it</v>
      </c>
      <c r="J269" s="12">
        <v>1959.7070000000001</v>
      </c>
      <c r="K269" s="12">
        <v>1959.7070000000001</v>
      </c>
      <c r="L269" s="12">
        <v>1247.451</v>
      </c>
      <c r="M269" s="12">
        <v>31.945</v>
      </c>
      <c r="N269" s="12">
        <v>31.945</v>
      </c>
      <c r="O269" s="12">
        <v>-140.709</v>
      </c>
      <c r="P269" s="12">
        <v>4</v>
      </c>
      <c r="Q269" s="12">
        <v>4</v>
      </c>
      <c r="R269" s="12">
        <v>4</v>
      </c>
    </row>
    <row r="270" spans="1:18" ht="17" customHeight="1" x14ac:dyDescent="0.2">
      <c r="A270" s="5" t="s">
        <v>1188</v>
      </c>
      <c r="B270" s="6" t="s">
        <v>1189</v>
      </c>
      <c r="C270" s="5" t="s">
        <v>1190</v>
      </c>
      <c r="D270" s="5" t="s">
        <v>1190</v>
      </c>
      <c r="E270" s="5" t="s">
        <v>1191</v>
      </c>
      <c r="F270" s="5" t="s">
        <v>134</v>
      </c>
      <c r="G270" s="5" t="s">
        <v>676</v>
      </c>
      <c r="H270" s="5" t="s">
        <v>74</v>
      </c>
      <c r="I270" s="5" t="str">
        <f>HYPERLINK("http://www.sindi-prototipia-moda.it/","www.sindi-prototipia-moda.it")</f>
        <v>www.sindi-prototipia-moda.it</v>
      </c>
      <c r="J270" s="7">
        <v>985.96100000000001</v>
      </c>
      <c r="K270" s="7">
        <v>985.96100000000001</v>
      </c>
      <c r="L270" s="8">
        <v>1247.2819999999999</v>
      </c>
      <c r="M270" s="7">
        <v>-46.661000000000001</v>
      </c>
      <c r="N270" s="7">
        <v>-46.661000000000001</v>
      </c>
      <c r="O270" s="7">
        <v>19.015000000000001</v>
      </c>
      <c r="P270" s="9" t="s">
        <v>24</v>
      </c>
      <c r="Q270" s="9" t="s">
        <v>24</v>
      </c>
      <c r="R270" s="7">
        <v>26</v>
      </c>
    </row>
    <row r="271" spans="1:18" ht="17" customHeight="1" x14ac:dyDescent="0.2">
      <c r="A271" s="10" t="s">
        <v>1192</v>
      </c>
      <c r="B271" s="11" t="s">
        <v>1193</v>
      </c>
      <c r="C271" s="10" t="s">
        <v>1194</v>
      </c>
      <c r="D271" s="10" t="s">
        <v>1194</v>
      </c>
      <c r="E271" s="10" t="s">
        <v>1195</v>
      </c>
      <c r="F271" s="10" t="s">
        <v>54</v>
      </c>
      <c r="G271" s="10" t="s">
        <v>89</v>
      </c>
      <c r="H271" s="10" t="s">
        <v>56</v>
      </c>
      <c r="I271" s="10" t="str">
        <f>HYPERLINK("http://www.tomaificiosandrorossi.it/","www.tomaificiosandrorossi.it")</f>
        <v>www.tomaificiosandrorossi.it</v>
      </c>
      <c r="J271" s="12">
        <v>1525.2829999999999</v>
      </c>
      <c r="K271" s="12">
        <v>1525.2829999999999</v>
      </c>
      <c r="L271" s="12">
        <v>1246.0219999999999</v>
      </c>
      <c r="M271" s="12">
        <v>24.672999999999998</v>
      </c>
      <c r="N271" s="12">
        <v>24.672999999999998</v>
      </c>
      <c r="O271" s="12">
        <v>11.179</v>
      </c>
      <c r="P271" s="12">
        <v>17</v>
      </c>
      <c r="Q271" s="12">
        <v>17</v>
      </c>
      <c r="R271" s="12">
        <v>15</v>
      </c>
    </row>
    <row r="272" spans="1:18" ht="29.5" customHeight="1" x14ac:dyDescent="0.2">
      <c r="A272" s="5" t="s">
        <v>1196</v>
      </c>
      <c r="B272" s="6" t="s">
        <v>1197</v>
      </c>
      <c r="C272" s="5" t="s">
        <v>1198</v>
      </c>
      <c r="D272" s="5" t="s">
        <v>1198</v>
      </c>
      <c r="E272" s="5" t="s">
        <v>1199</v>
      </c>
      <c r="F272" s="5" t="s">
        <v>21</v>
      </c>
      <c r="G272" s="5" t="s">
        <v>1200</v>
      </c>
      <c r="H272" s="5" t="s">
        <v>407</v>
      </c>
      <c r="I272" s="5" t="str">
        <f>HYPERLINK("http://www.rinascitashoes.it/","www.rinascitashoes.it")</f>
        <v>www.rinascitashoes.it</v>
      </c>
      <c r="J272" s="7">
        <v>849.97400000000005</v>
      </c>
      <c r="K272" s="7">
        <v>849.97400000000005</v>
      </c>
      <c r="L272" s="8">
        <v>1245.1469999999999</v>
      </c>
      <c r="M272" s="7">
        <v>-218.22</v>
      </c>
      <c r="N272" s="7">
        <v>-218.22</v>
      </c>
      <c r="O272" s="7">
        <v>-180.071</v>
      </c>
      <c r="P272" s="7">
        <v>28</v>
      </c>
      <c r="Q272" s="7">
        <v>28</v>
      </c>
      <c r="R272" s="7">
        <v>33</v>
      </c>
    </row>
    <row r="273" spans="1:18" ht="17" customHeight="1" x14ac:dyDescent="0.2">
      <c r="A273" s="10" t="s">
        <v>1201</v>
      </c>
      <c r="B273" s="11" t="s">
        <v>1202</v>
      </c>
      <c r="C273" s="10" t="s">
        <v>1203</v>
      </c>
      <c r="D273" s="10" t="s">
        <v>1203</v>
      </c>
      <c r="E273" s="10" t="s">
        <v>1204</v>
      </c>
      <c r="F273" s="10" t="s">
        <v>54</v>
      </c>
      <c r="G273" s="10" t="s">
        <v>89</v>
      </c>
      <c r="H273" s="10" t="s">
        <v>56</v>
      </c>
      <c r="I273" s="10" t="str">
        <f>HYPERLINK("http://www.ercan.it/","www.ercan.it")</f>
        <v>www.ercan.it</v>
      </c>
      <c r="J273" s="12">
        <v>1239.6410000000001</v>
      </c>
      <c r="K273" s="12">
        <v>1239.6410000000001</v>
      </c>
      <c r="L273" s="12">
        <v>1244.9570000000001</v>
      </c>
      <c r="M273" s="12">
        <v>40.124000000000002</v>
      </c>
      <c r="N273" s="12">
        <v>40.124000000000002</v>
      </c>
      <c r="O273" s="12">
        <v>81.305999999999997</v>
      </c>
      <c r="P273" s="12">
        <v>9</v>
      </c>
      <c r="Q273" s="12">
        <v>9</v>
      </c>
      <c r="R273" s="12">
        <v>7</v>
      </c>
    </row>
    <row r="274" spans="1:18" ht="29.5" customHeight="1" x14ac:dyDescent="0.2">
      <c r="A274" s="5" t="s">
        <v>1205</v>
      </c>
      <c r="B274" s="6" t="s">
        <v>1206</v>
      </c>
      <c r="C274" s="5" t="s">
        <v>1207</v>
      </c>
      <c r="D274" s="5" t="s">
        <v>1208</v>
      </c>
      <c r="E274" s="5" t="s">
        <v>1209</v>
      </c>
      <c r="F274" s="5" t="s">
        <v>367</v>
      </c>
      <c r="G274" s="5" t="s">
        <v>1210</v>
      </c>
      <c r="H274" s="5" t="s">
        <v>1132</v>
      </c>
      <c r="I274" s="5" t="str">
        <f>HYPERLINK("http://futurauniform.com/","futurauniform.com")</f>
        <v>futurauniform.com</v>
      </c>
      <c r="J274" s="7">
        <v>1094.537</v>
      </c>
      <c r="K274" s="7">
        <v>1094.537</v>
      </c>
      <c r="L274" s="8">
        <v>1244.952</v>
      </c>
      <c r="M274" s="7">
        <v>-4.6859999999999999</v>
      </c>
      <c r="N274" s="7">
        <v>-4.6859999999999999</v>
      </c>
      <c r="O274" s="7">
        <v>23.506</v>
      </c>
      <c r="P274" s="7">
        <v>11</v>
      </c>
      <c r="Q274" s="7">
        <v>11</v>
      </c>
      <c r="R274" s="7">
        <v>10</v>
      </c>
    </row>
    <row r="275" spans="1:18" ht="17" customHeight="1" x14ac:dyDescent="0.2">
      <c r="A275" s="10" t="s">
        <v>1211</v>
      </c>
      <c r="B275" s="11" t="s">
        <v>1212</v>
      </c>
      <c r="C275" s="10" t="s">
        <v>1213</v>
      </c>
      <c r="D275" s="10" t="s">
        <v>1213</v>
      </c>
      <c r="E275" s="10" t="s">
        <v>1214</v>
      </c>
      <c r="F275" s="10" t="s">
        <v>482</v>
      </c>
      <c r="G275" s="10" t="s">
        <v>663</v>
      </c>
      <c r="H275" s="10" t="s">
        <v>299</v>
      </c>
      <c r="I275" s="10" t="str">
        <f>HYPERLINK("http://www.maurogoverna.com/","www.maurogoverna.com")</f>
        <v>www.maurogoverna.com</v>
      </c>
      <c r="J275" s="12">
        <v>1131.57</v>
      </c>
      <c r="K275" s="12">
        <v>1131.57</v>
      </c>
      <c r="L275" s="12">
        <v>1243.9949999999999</v>
      </c>
      <c r="M275" s="12">
        <v>44.180999999999997</v>
      </c>
      <c r="N275" s="12">
        <v>44.180999999999997</v>
      </c>
      <c r="O275" s="12">
        <v>37.656999999999996</v>
      </c>
      <c r="P275" s="12">
        <v>11</v>
      </c>
      <c r="Q275" s="12">
        <v>11</v>
      </c>
      <c r="R275" s="12">
        <v>13</v>
      </c>
    </row>
    <row r="276" spans="1:18" ht="17" customHeight="1" x14ac:dyDescent="0.2">
      <c r="A276" s="5" t="s">
        <v>1215</v>
      </c>
      <c r="B276" s="6" t="s">
        <v>1216</v>
      </c>
      <c r="C276" s="5" t="s">
        <v>1217</v>
      </c>
      <c r="D276" s="5" t="s">
        <v>1217</v>
      </c>
      <c r="E276" s="5" t="s">
        <v>1218</v>
      </c>
      <c r="F276" s="5" t="s">
        <v>462</v>
      </c>
      <c r="G276" s="5" t="s">
        <v>293</v>
      </c>
      <c r="H276" s="5" t="s">
        <v>74</v>
      </c>
      <c r="I276" s="5" t="str">
        <f>HYPERLINK("http://www.henri.it/","www.henri.it")</f>
        <v>www.henri.it</v>
      </c>
      <c r="J276" s="7">
        <v>1257.8630000000001</v>
      </c>
      <c r="K276" s="7">
        <v>1257.8630000000001</v>
      </c>
      <c r="L276" s="8">
        <v>1241.9960000000001</v>
      </c>
      <c r="M276" s="7">
        <v>7.89</v>
      </c>
      <c r="N276" s="7">
        <v>7.89</v>
      </c>
      <c r="O276" s="7">
        <v>6.3070000000000004</v>
      </c>
      <c r="P276" s="7">
        <v>10</v>
      </c>
      <c r="Q276" s="7">
        <v>10</v>
      </c>
      <c r="R276" s="7">
        <v>15</v>
      </c>
    </row>
    <row r="277" spans="1:18" ht="17" customHeight="1" x14ac:dyDescent="0.2">
      <c r="A277" s="10" t="s">
        <v>1219</v>
      </c>
      <c r="B277" s="11" t="s">
        <v>1220</v>
      </c>
      <c r="C277" s="10" t="s">
        <v>1221</v>
      </c>
      <c r="D277" s="10" t="s">
        <v>1221</v>
      </c>
      <c r="E277" s="10" t="s">
        <v>1222</v>
      </c>
      <c r="F277" s="10" t="s">
        <v>105</v>
      </c>
      <c r="G277" s="10" t="s">
        <v>79</v>
      </c>
      <c r="H277" s="10" t="s">
        <v>56</v>
      </c>
      <c r="I277" s="10" t="str">
        <f>HYPERLINK("http://marsport.it/","marsport.it")</f>
        <v>marsport.it</v>
      </c>
      <c r="J277" s="12">
        <v>1028.1880000000001</v>
      </c>
      <c r="K277" s="12">
        <v>1028.1880000000001</v>
      </c>
      <c r="L277" s="12">
        <v>1241.1849999999999</v>
      </c>
      <c r="M277" s="12">
        <v>17.891999999999999</v>
      </c>
      <c r="N277" s="12">
        <v>17.891999999999999</v>
      </c>
      <c r="O277" s="12">
        <v>32.896999999999998</v>
      </c>
      <c r="P277" s="12">
        <v>7</v>
      </c>
      <c r="Q277" s="12">
        <v>7</v>
      </c>
      <c r="R277" s="12">
        <v>6</v>
      </c>
    </row>
    <row r="278" spans="1:18" ht="17" customHeight="1" x14ac:dyDescent="0.2">
      <c r="A278" s="5" t="s">
        <v>1223</v>
      </c>
      <c r="B278" s="6" t="s">
        <v>1224</v>
      </c>
      <c r="C278" s="5" t="s">
        <v>1225</v>
      </c>
      <c r="D278" s="5" t="s">
        <v>1225</v>
      </c>
      <c r="E278" s="5" t="s">
        <v>1226</v>
      </c>
      <c r="F278" s="5" t="s">
        <v>114</v>
      </c>
      <c r="G278" s="5" t="s">
        <v>67</v>
      </c>
      <c r="H278" s="5" t="s">
        <v>43</v>
      </c>
      <c r="I278" s="5" t="str">
        <f>HYPERLINK("http://www.apachefactory.com/","www.apachefactory.com")</f>
        <v>www.apachefactory.com</v>
      </c>
      <c r="J278" s="7">
        <v>1510.7139999999999</v>
      </c>
      <c r="K278" s="7">
        <v>1510.7139999999999</v>
      </c>
      <c r="L278" s="8">
        <v>1240.211</v>
      </c>
      <c r="M278" s="7">
        <v>21.625</v>
      </c>
      <c r="N278" s="7">
        <v>21.625</v>
      </c>
      <c r="O278" s="7">
        <v>29.111999999999998</v>
      </c>
      <c r="P278" s="9" t="s">
        <v>24</v>
      </c>
      <c r="Q278" s="9" t="s">
        <v>24</v>
      </c>
      <c r="R278" s="7">
        <v>11</v>
      </c>
    </row>
    <row r="279" spans="1:18" ht="43" customHeight="1" x14ac:dyDescent="0.2">
      <c r="A279" s="10" t="s">
        <v>1227</v>
      </c>
      <c r="B279" s="11" t="s">
        <v>1228</v>
      </c>
      <c r="C279" s="10" t="s">
        <v>1229</v>
      </c>
      <c r="D279" s="10" t="s">
        <v>1229</v>
      </c>
      <c r="E279" s="10" t="s">
        <v>1230</v>
      </c>
      <c r="F279" s="10" t="s">
        <v>367</v>
      </c>
      <c r="G279" s="10" t="s">
        <v>1210</v>
      </c>
      <c r="H279" s="10" t="s">
        <v>1132</v>
      </c>
      <c r="I279" s="10" t="str">
        <f>HYPERLINK("http://www.dinzillosweetmode.it/","www.dinzillosweetmode.it")</f>
        <v>www.dinzillosweetmode.it</v>
      </c>
      <c r="J279" s="12">
        <v>1515.605</v>
      </c>
      <c r="K279" s="12">
        <v>1515.605</v>
      </c>
      <c r="L279" s="12">
        <v>1239.3820000000001</v>
      </c>
      <c r="M279" s="12">
        <v>134.33099999999999</v>
      </c>
      <c r="N279" s="12">
        <v>134.33099999999999</v>
      </c>
      <c r="O279" s="12">
        <v>54.154000000000003</v>
      </c>
      <c r="P279" s="13" t="s">
        <v>24</v>
      </c>
      <c r="Q279" s="13" t="s">
        <v>24</v>
      </c>
      <c r="R279" s="12">
        <v>12</v>
      </c>
    </row>
    <row r="280" spans="1:18" ht="17" customHeight="1" x14ac:dyDescent="0.2">
      <c r="A280" s="5" t="s">
        <v>1231</v>
      </c>
      <c r="B280" s="6" t="s">
        <v>1232</v>
      </c>
      <c r="C280" s="5" t="s">
        <v>1233</v>
      </c>
      <c r="D280" s="5" t="s">
        <v>1233</v>
      </c>
      <c r="E280" s="5" t="s">
        <v>1234</v>
      </c>
      <c r="F280" s="5" t="s">
        <v>114</v>
      </c>
      <c r="G280" s="5" t="s">
        <v>1235</v>
      </c>
      <c r="H280" s="5" t="s">
        <v>1236</v>
      </c>
      <c r="I280" s="5" t="str">
        <f>HYPERLINK("http://rialto48.com/","rialto48.com")</f>
        <v>rialto48.com</v>
      </c>
      <c r="J280" s="7">
        <v>1742.0160000000001</v>
      </c>
      <c r="K280" s="7">
        <v>1742.0160000000001</v>
      </c>
      <c r="L280" s="8">
        <v>1238.7159999999999</v>
      </c>
      <c r="M280" s="7">
        <v>102.38800000000001</v>
      </c>
      <c r="N280" s="7">
        <v>102.38800000000001</v>
      </c>
      <c r="O280" s="7">
        <v>153.892</v>
      </c>
      <c r="P280" s="7">
        <v>4</v>
      </c>
      <c r="Q280" s="7">
        <v>4</v>
      </c>
      <c r="R280" s="7">
        <v>2</v>
      </c>
    </row>
    <row r="281" spans="1:18" ht="29.5" customHeight="1" x14ac:dyDescent="0.2">
      <c r="A281" s="10" t="s">
        <v>1237</v>
      </c>
      <c r="B281" s="11" t="s">
        <v>1238</v>
      </c>
      <c r="C281" s="10" t="s">
        <v>1239</v>
      </c>
      <c r="D281" s="10" t="s">
        <v>1239</v>
      </c>
      <c r="E281" s="10" t="s">
        <v>1240</v>
      </c>
      <c r="F281" s="10" t="s">
        <v>114</v>
      </c>
      <c r="G281" s="10" t="s">
        <v>229</v>
      </c>
      <c r="H281" s="10" t="s">
        <v>31</v>
      </c>
      <c r="I281" s="10" t="str">
        <f>HYPERLINK("http://www.napoletanoconfezioni.it/","www.napoletanoconfezioni.it")</f>
        <v>www.napoletanoconfezioni.it</v>
      </c>
      <c r="J281" s="12">
        <v>1578.2190000000001</v>
      </c>
      <c r="K281" s="12">
        <v>1578.2190000000001</v>
      </c>
      <c r="L281" s="12">
        <v>1238.0139999999999</v>
      </c>
      <c r="M281" s="12">
        <v>142.79900000000001</v>
      </c>
      <c r="N281" s="12">
        <v>142.79900000000001</v>
      </c>
      <c r="O281" s="12">
        <v>88.593000000000004</v>
      </c>
      <c r="P281" s="13" t="s">
        <v>24</v>
      </c>
      <c r="Q281" s="13" t="s">
        <v>24</v>
      </c>
      <c r="R281" s="12">
        <v>29</v>
      </c>
    </row>
    <row r="282" spans="1:18" ht="17" customHeight="1" x14ac:dyDescent="0.2">
      <c r="A282" s="5" t="s">
        <v>1241</v>
      </c>
      <c r="B282" s="6" t="s">
        <v>1242</v>
      </c>
      <c r="C282" s="5" t="s">
        <v>1243</v>
      </c>
      <c r="D282" s="5" t="s">
        <v>1243</v>
      </c>
      <c r="E282" s="5" t="s">
        <v>1244</v>
      </c>
      <c r="F282" s="5" t="s">
        <v>41</v>
      </c>
      <c r="G282" s="5" t="s">
        <v>42</v>
      </c>
      <c r="H282" s="5" t="s">
        <v>43</v>
      </c>
      <c r="I282" s="5" t="str">
        <f>HYPERLINK("http://www.soldasrl.it/","www.soldasrl.it")</f>
        <v>www.soldasrl.it</v>
      </c>
      <c r="J282" s="7">
        <v>1479.357</v>
      </c>
      <c r="K282" s="7">
        <v>1479.357</v>
      </c>
      <c r="L282" s="8">
        <v>1237.098</v>
      </c>
      <c r="M282" s="7">
        <v>32.840000000000003</v>
      </c>
      <c r="N282" s="7">
        <v>32.840000000000003</v>
      </c>
      <c r="O282" s="7">
        <v>22.733000000000001</v>
      </c>
      <c r="P282" s="7">
        <v>14</v>
      </c>
      <c r="Q282" s="7">
        <v>14</v>
      </c>
      <c r="R282" s="7">
        <v>15</v>
      </c>
    </row>
    <row r="283" spans="1:18" ht="29.5" customHeight="1" x14ac:dyDescent="0.2">
      <c r="A283" s="10" t="s">
        <v>1245</v>
      </c>
      <c r="B283" s="11" t="s">
        <v>1246</v>
      </c>
      <c r="C283" s="10" t="s">
        <v>1247</v>
      </c>
      <c r="D283" s="10" t="s">
        <v>1247</v>
      </c>
      <c r="E283" s="10" t="s">
        <v>1248</v>
      </c>
      <c r="F283" s="10" t="s">
        <v>462</v>
      </c>
      <c r="G283" s="10" t="s">
        <v>274</v>
      </c>
      <c r="H283" s="10" t="s">
        <v>31</v>
      </c>
      <c r="I283" s="10" t="str">
        <f>HYPERLINK("http://www.manamitalia.com/","www.manamitalia.com")</f>
        <v>www.manamitalia.com</v>
      </c>
      <c r="J283" s="12">
        <v>820.98400000000004</v>
      </c>
      <c r="K283" s="12">
        <v>820.98400000000004</v>
      </c>
      <c r="L283" s="12">
        <v>1234.212</v>
      </c>
      <c r="M283" s="12">
        <v>10.526999999999999</v>
      </c>
      <c r="N283" s="12">
        <v>10.526999999999999</v>
      </c>
      <c r="O283" s="12">
        <v>29.812000000000001</v>
      </c>
      <c r="P283" s="13" t="s">
        <v>24</v>
      </c>
      <c r="Q283" s="13" t="s">
        <v>24</v>
      </c>
      <c r="R283" s="12">
        <v>5</v>
      </c>
    </row>
    <row r="284" spans="1:18" ht="29.5" customHeight="1" x14ac:dyDescent="0.2">
      <c r="A284" s="5" t="s">
        <v>1249</v>
      </c>
      <c r="B284" s="6" t="s">
        <v>1250</v>
      </c>
      <c r="C284" s="5" t="s">
        <v>1251</v>
      </c>
      <c r="D284" s="5" t="s">
        <v>1251</v>
      </c>
      <c r="E284" s="5" t="s">
        <v>1252</v>
      </c>
      <c r="F284" s="5" t="s">
        <v>376</v>
      </c>
      <c r="G284" s="5" t="s">
        <v>1013</v>
      </c>
      <c r="H284" s="5" t="s">
        <v>43</v>
      </c>
      <c r="I284" s="5" t="str">
        <f>HYPERLINK("http://www.fustellificiovenetovr.com/","www.fustellificiovenetovr.com")</f>
        <v>www.fustellificiovenetovr.com</v>
      </c>
      <c r="J284" s="7">
        <v>1174.998</v>
      </c>
      <c r="K284" s="7">
        <v>1174.998</v>
      </c>
      <c r="L284" s="8">
        <v>1233.7049999999999</v>
      </c>
      <c r="M284" s="7">
        <v>91.766000000000005</v>
      </c>
      <c r="N284" s="7">
        <v>91.766000000000005</v>
      </c>
      <c r="O284" s="7">
        <v>63.802</v>
      </c>
      <c r="P284" s="7">
        <v>13</v>
      </c>
      <c r="Q284" s="7">
        <v>13</v>
      </c>
      <c r="R284" s="7">
        <v>14</v>
      </c>
    </row>
    <row r="285" spans="1:18" ht="17" customHeight="1" x14ac:dyDescent="0.2">
      <c r="A285" s="10" t="s">
        <v>1253</v>
      </c>
      <c r="B285" s="11" t="s">
        <v>1254</v>
      </c>
      <c r="C285" s="10" t="s">
        <v>1255</v>
      </c>
      <c r="D285" s="10" t="s">
        <v>1255</v>
      </c>
      <c r="E285" s="10" t="s">
        <v>1256</v>
      </c>
      <c r="F285" s="10" t="s">
        <v>21</v>
      </c>
      <c r="G285" s="10" t="s">
        <v>381</v>
      </c>
      <c r="H285" s="10" t="s">
        <v>23</v>
      </c>
      <c r="I285" s="10" t="str">
        <f>HYPERLINK("http://www.luzzi.it/","www.luzzi.it")</f>
        <v>www.luzzi.it</v>
      </c>
      <c r="J285" s="12">
        <v>1914.0920000000001</v>
      </c>
      <c r="K285" s="12">
        <v>1914.0920000000001</v>
      </c>
      <c r="L285" s="12">
        <v>1232.854</v>
      </c>
      <c r="M285" s="12">
        <v>1.8220000000000001</v>
      </c>
      <c r="N285" s="12">
        <v>1.8220000000000001</v>
      </c>
      <c r="O285" s="12">
        <v>-6.0049999999999999</v>
      </c>
      <c r="P285" s="12">
        <v>13</v>
      </c>
      <c r="Q285" s="12">
        <v>13</v>
      </c>
      <c r="R285" s="12">
        <v>10</v>
      </c>
    </row>
    <row r="286" spans="1:18" ht="17" customHeight="1" x14ac:dyDescent="0.2">
      <c r="A286" s="5" t="s">
        <v>1257</v>
      </c>
      <c r="B286" s="6" t="s">
        <v>1258</v>
      </c>
      <c r="C286" s="5" t="s">
        <v>1259</v>
      </c>
      <c r="D286" s="5" t="s">
        <v>1259</v>
      </c>
      <c r="E286" s="5" t="s">
        <v>1260</v>
      </c>
      <c r="F286" s="5" t="s">
        <v>21</v>
      </c>
      <c r="G286" s="5" t="s">
        <v>79</v>
      </c>
      <c r="H286" s="5" t="s">
        <v>56</v>
      </c>
      <c r="I286" s="5" t="str">
        <f>HYPERLINK("http://bellashoes.it/","bellashoes.it")</f>
        <v>bellashoes.it</v>
      </c>
      <c r="J286" s="7">
        <v>1395.2260000000001</v>
      </c>
      <c r="K286" s="7">
        <v>1395.2260000000001</v>
      </c>
      <c r="L286" s="8">
        <v>1232.0039999999999</v>
      </c>
      <c r="M286" s="7">
        <v>2.573</v>
      </c>
      <c r="N286" s="7">
        <v>2.573</v>
      </c>
      <c r="O286" s="7">
        <v>11.105</v>
      </c>
      <c r="P286" s="7">
        <v>9</v>
      </c>
      <c r="Q286" s="7">
        <v>9</v>
      </c>
      <c r="R286" s="7">
        <v>9</v>
      </c>
    </row>
    <row r="287" spans="1:18" ht="17" customHeight="1" x14ac:dyDescent="0.2">
      <c r="A287" s="10" t="s">
        <v>1261</v>
      </c>
      <c r="B287" s="11" t="s">
        <v>1262</v>
      </c>
      <c r="C287" s="10" t="s">
        <v>1263</v>
      </c>
      <c r="D287" s="10" t="s">
        <v>1263</v>
      </c>
      <c r="E287" s="10" t="s">
        <v>1264</v>
      </c>
      <c r="F287" s="10" t="s">
        <v>376</v>
      </c>
      <c r="G287" s="10" t="s">
        <v>115</v>
      </c>
      <c r="H287" s="10" t="s">
        <v>43</v>
      </c>
      <c r="I287" s="10" t="str">
        <f>HYPERLINK("http://tacchificiocristina.it/","tacchificiocristina.it")</f>
        <v>tacchificiocristina.it</v>
      </c>
      <c r="J287" s="12">
        <v>1203.7090000000001</v>
      </c>
      <c r="K287" s="12">
        <v>1313.4839999999999</v>
      </c>
      <c r="L287" s="12">
        <v>1231.893</v>
      </c>
      <c r="M287" s="12">
        <v>16.155999999999999</v>
      </c>
      <c r="N287" s="12">
        <v>46.110999999999997</v>
      </c>
      <c r="O287" s="12">
        <v>156.10599999999999</v>
      </c>
      <c r="P287" s="12">
        <v>8</v>
      </c>
      <c r="Q287" s="12">
        <v>8</v>
      </c>
      <c r="R287" s="12">
        <v>6</v>
      </c>
    </row>
    <row r="288" spans="1:18" ht="29.5" customHeight="1" x14ac:dyDescent="0.2">
      <c r="A288" s="5" t="s">
        <v>1265</v>
      </c>
      <c r="B288" s="6" t="s">
        <v>1266</v>
      </c>
      <c r="C288" s="5" t="s">
        <v>1267</v>
      </c>
      <c r="D288" s="5" t="s">
        <v>1267</v>
      </c>
      <c r="E288" s="5" t="s">
        <v>1268</v>
      </c>
      <c r="F288" s="5" t="s">
        <v>149</v>
      </c>
      <c r="G288" s="5" t="s">
        <v>283</v>
      </c>
      <c r="H288" s="5" t="s">
        <v>74</v>
      </c>
      <c r="I288" s="5" t="str">
        <f>HYPERLINK("http://extremewinter.it/","extremewinter.it")</f>
        <v>extremewinter.it</v>
      </c>
      <c r="J288" s="7">
        <v>1115.8989999999999</v>
      </c>
      <c r="K288" s="7">
        <v>1115.8989999999999</v>
      </c>
      <c r="L288" s="8">
        <v>1230.194</v>
      </c>
      <c r="M288" s="7">
        <v>16.186</v>
      </c>
      <c r="N288" s="7">
        <v>16.186</v>
      </c>
      <c r="O288" s="7">
        <v>15.641999999999999</v>
      </c>
      <c r="P288" s="7">
        <v>3</v>
      </c>
      <c r="Q288" s="7">
        <v>3</v>
      </c>
      <c r="R288" s="7">
        <v>4</v>
      </c>
    </row>
    <row r="289" spans="1:18" ht="17" customHeight="1" x14ac:dyDescent="0.2">
      <c r="A289" s="10" t="s">
        <v>1269</v>
      </c>
      <c r="B289" s="11" t="s">
        <v>1270</v>
      </c>
      <c r="C289" s="10" t="s">
        <v>1271</v>
      </c>
      <c r="D289" s="10" t="s">
        <v>1271</v>
      </c>
      <c r="E289" s="10" t="s">
        <v>1272</v>
      </c>
      <c r="F289" s="10" t="s">
        <v>21</v>
      </c>
      <c r="G289" s="10" t="s">
        <v>79</v>
      </c>
      <c r="H289" s="10" t="s">
        <v>56</v>
      </c>
      <c r="I289" s="10" t="str">
        <f>HYPERLINK("http://abocca.co/","abocca.co")</f>
        <v>abocca.co</v>
      </c>
      <c r="J289" s="12">
        <v>1806.3420000000001</v>
      </c>
      <c r="K289" s="12">
        <v>1806.3420000000001</v>
      </c>
      <c r="L289" s="12">
        <v>1229.9559999999999</v>
      </c>
      <c r="M289" s="12">
        <v>4.9039999999999999</v>
      </c>
      <c r="N289" s="12">
        <v>4.9039999999999999</v>
      </c>
      <c r="O289" s="12">
        <v>7.6879999999999997</v>
      </c>
      <c r="P289" s="12">
        <v>4</v>
      </c>
      <c r="Q289" s="12">
        <v>4</v>
      </c>
      <c r="R289" s="12">
        <v>4</v>
      </c>
    </row>
    <row r="290" spans="1:18" ht="17" customHeight="1" x14ac:dyDescent="0.2">
      <c r="A290" s="5" t="s">
        <v>1273</v>
      </c>
      <c r="B290" s="6" t="s">
        <v>1274</v>
      </c>
      <c r="C290" s="5" t="s">
        <v>1275</v>
      </c>
      <c r="D290" s="5" t="s">
        <v>1275</v>
      </c>
      <c r="E290" s="5" t="s">
        <v>1276</v>
      </c>
      <c r="F290" s="5" t="s">
        <v>21</v>
      </c>
      <c r="G290" s="5" t="s">
        <v>211</v>
      </c>
      <c r="H290" s="5" t="s">
        <v>74</v>
      </c>
      <c r="I290" s="5" t="str">
        <f>HYPERLINK("http://www.pellettieridiparma.com/","www.pellettieridiparma.com")</f>
        <v>www.pellettieridiparma.com</v>
      </c>
      <c r="J290" s="7">
        <v>1577.1110000000001</v>
      </c>
      <c r="K290" s="7">
        <v>1577.1110000000001</v>
      </c>
      <c r="L290" s="8">
        <v>1228.9970000000001</v>
      </c>
      <c r="M290" s="7">
        <v>6.94</v>
      </c>
      <c r="N290" s="7">
        <v>6.94</v>
      </c>
      <c r="O290" s="7">
        <v>2.923</v>
      </c>
      <c r="P290" s="7">
        <v>4</v>
      </c>
      <c r="Q290" s="7">
        <v>4</v>
      </c>
      <c r="R290" s="7">
        <v>4</v>
      </c>
    </row>
    <row r="291" spans="1:18" ht="17" customHeight="1" x14ac:dyDescent="0.2">
      <c r="A291" s="10" t="s">
        <v>1277</v>
      </c>
      <c r="B291" s="11" t="s">
        <v>1278</v>
      </c>
      <c r="C291" s="10" t="s">
        <v>1279</v>
      </c>
      <c r="D291" s="10" t="s">
        <v>1279</v>
      </c>
      <c r="E291" s="10" t="s">
        <v>1280</v>
      </c>
      <c r="F291" s="10" t="s">
        <v>376</v>
      </c>
      <c r="G291" s="10" t="s">
        <v>308</v>
      </c>
      <c r="H291" s="10" t="s">
        <v>299</v>
      </c>
      <c r="I291" s="10" t="str">
        <f>HYPERLINK("http://www.enzobonafe.com/","www.enzobonafe.com")</f>
        <v>www.enzobonafe.com</v>
      </c>
      <c r="J291" s="12">
        <v>1347.874</v>
      </c>
      <c r="K291" s="12">
        <v>1347.874</v>
      </c>
      <c r="L291" s="12">
        <v>1228.0719999999999</v>
      </c>
      <c r="M291" s="12">
        <v>68.613</v>
      </c>
      <c r="N291" s="12">
        <v>68.613</v>
      </c>
      <c r="O291" s="12">
        <v>29.97</v>
      </c>
      <c r="P291" s="12">
        <v>16</v>
      </c>
      <c r="Q291" s="12">
        <v>16</v>
      </c>
      <c r="R291" s="12">
        <v>20</v>
      </c>
    </row>
    <row r="292" spans="1:18" ht="17" customHeight="1" x14ac:dyDescent="0.2">
      <c r="A292" s="5" t="s">
        <v>1281</v>
      </c>
      <c r="B292" s="6" t="s">
        <v>1282</v>
      </c>
      <c r="C292" s="5" t="s">
        <v>1283</v>
      </c>
      <c r="D292" s="5" t="s">
        <v>1283</v>
      </c>
      <c r="E292" s="5" t="s">
        <v>1284</v>
      </c>
      <c r="F292" s="5" t="s">
        <v>149</v>
      </c>
      <c r="G292" s="5" t="s">
        <v>42</v>
      </c>
      <c r="H292" s="5" t="s">
        <v>43</v>
      </c>
      <c r="I292" s="5" t="str">
        <f>HYPERLINK("http://sagester.it/","sagester.it")</f>
        <v>sagester.it</v>
      </c>
      <c r="J292" s="7">
        <v>1355.703</v>
      </c>
      <c r="K292" s="7">
        <v>1355.703</v>
      </c>
      <c r="L292" s="8">
        <v>1227.9939999999999</v>
      </c>
      <c r="M292" s="7">
        <v>15.135</v>
      </c>
      <c r="N292" s="7">
        <v>15.135</v>
      </c>
      <c r="O292" s="7">
        <v>11.202</v>
      </c>
      <c r="P292" s="7">
        <v>27</v>
      </c>
      <c r="Q292" s="7">
        <v>27</v>
      </c>
      <c r="R292" s="7">
        <v>16</v>
      </c>
    </row>
    <row r="293" spans="1:18" ht="29.5" customHeight="1" x14ac:dyDescent="0.2">
      <c r="A293" s="10" t="s">
        <v>1285</v>
      </c>
      <c r="B293" s="11" t="s">
        <v>1286</v>
      </c>
      <c r="C293" s="10" t="s">
        <v>1287</v>
      </c>
      <c r="D293" s="10" t="s">
        <v>1287</v>
      </c>
      <c r="E293" s="10" t="s">
        <v>1288</v>
      </c>
      <c r="F293" s="10" t="s">
        <v>21</v>
      </c>
      <c r="G293" s="10" t="s">
        <v>49</v>
      </c>
      <c r="H293" s="10" t="s">
        <v>23</v>
      </c>
      <c r="I293" s="10" t="str">
        <f>HYPERLINK("http://www.calzaturificiociaschi.net/","www.calzaturificiociaschi.net")</f>
        <v>www.calzaturificiociaschi.net</v>
      </c>
      <c r="J293" s="12">
        <v>1356.424</v>
      </c>
      <c r="K293" s="12">
        <v>1356.424</v>
      </c>
      <c r="L293" s="12">
        <v>1225.296</v>
      </c>
      <c r="M293" s="12">
        <v>56.341000000000001</v>
      </c>
      <c r="N293" s="12">
        <v>56.341000000000001</v>
      </c>
      <c r="O293" s="12">
        <v>67</v>
      </c>
      <c r="P293" s="13" t="s">
        <v>24</v>
      </c>
      <c r="Q293" s="13" t="s">
        <v>24</v>
      </c>
      <c r="R293" s="12">
        <v>11</v>
      </c>
    </row>
    <row r="294" spans="1:18" ht="17" customHeight="1" x14ac:dyDescent="0.2">
      <c r="A294" s="5" t="s">
        <v>1289</v>
      </c>
      <c r="B294" s="6" t="s">
        <v>1290</v>
      </c>
      <c r="C294" s="5" t="s">
        <v>1291</v>
      </c>
      <c r="D294" s="5" t="s">
        <v>1291</v>
      </c>
      <c r="E294" s="5" t="s">
        <v>1292</v>
      </c>
      <c r="F294" s="5" t="s">
        <v>41</v>
      </c>
      <c r="G294" s="5" t="s">
        <v>224</v>
      </c>
      <c r="H294" s="5" t="s">
        <v>23</v>
      </c>
      <c r="I294" s="5" t="str">
        <f>HYPERLINK("http://www.conceriamancini.it/","www.conceriamancini.it")</f>
        <v>www.conceriamancini.it</v>
      </c>
      <c r="J294" s="7">
        <v>1607.6890000000001</v>
      </c>
      <c r="K294" s="7">
        <v>1607.6890000000001</v>
      </c>
      <c r="L294" s="8">
        <v>1225.027</v>
      </c>
      <c r="M294" s="7">
        <v>78.275000000000006</v>
      </c>
      <c r="N294" s="7">
        <v>78.275000000000006</v>
      </c>
      <c r="O294" s="7">
        <v>62.994999999999997</v>
      </c>
      <c r="P294" s="7">
        <v>3</v>
      </c>
      <c r="Q294" s="7">
        <v>3</v>
      </c>
      <c r="R294" s="7">
        <v>3</v>
      </c>
    </row>
    <row r="295" spans="1:18" ht="17" customHeight="1" x14ac:dyDescent="0.2">
      <c r="A295" s="10" t="s">
        <v>1293</v>
      </c>
      <c r="B295" s="11" t="s">
        <v>1294</v>
      </c>
      <c r="C295" s="10" t="s">
        <v>1295</v>
      </c>
      <c r="D295" s="10" t="s">
        <v>1295</v>
      </c>
      <c r="E295" s="10" t="s">
        <v>1296</v>
      </c>
      <c r="F295" s="10" t="s">
        <v>114</v>
      </c>
      <c r="G295" s="10" t="s">
        <v>274</v>
      </c>
      <c r="H295" s="10" t="s">
        <v>31</v>
      </c>
      <c r="I295" s="10" t="str">
        <f>HYPERLINK("http://www.marlenelingerie.it/","www.marlenelingerie.it")</f>
        <v>www.marlenelingerie.it</v>
      </c>
      <c r="J295" s="12">
        <v>1147.9269999999999</v>
      </c>
      <c r="K295" s="12">
        <v>1147.9269999999999</v>
      </c>
      <c r="L295" s="12">
        <v>1224.02</v>
      </c>
      <c r="M295" s="12">
        <v>60.66</v>
      </c>
      <c r="N295" s="12">
        <v>60.66</v>
      </c>
      <c r="O295" s="12">
        <v>42.671999999999997</v>
      </c>
      <c r="P295" s="12">
        <v>19</v>
      </c>
      <c r="Q295" s="12">
        <v>19</v>
      </c>
      <c r="R295" s="12">
        <v>18</v>
      </c>
    </row>
    <row r="296" spans="1:18" ht="17" customHeight="1" x14ac:dyDescent="0.2">
      <c r="A296" s="5" t="s">
        <v>1297</v>
      </c>
      <c r="B296" s="6" t="s">
        <v>1298</v>
      </c>
      <c r="C296" s="5" t="s">
        <v>1299</v>
      </c>
      <c r="D296" s="5" t="s">
        <v>1299</v>
      </c>
      <c r="E296" s="5" t="s">
        <v>1300</v>
      </c>
      <c r="F296" s="5" t="s">
        <v>54</v>
      </c>
      <c r="G296" s="5" t="s">
        <v>79</v>
      </c>
      <c r="H296" s="5" t="s">
        <v>56</v>
      </c>
      <c r="I296" s="5" t="str">
        <f>HYPERLINK("http://www.solettificioterry.it/","www.solettificioterry.it")</f>
        <v>www.solettificioterry.it</v>
      </c>
      <c r="J296" s="7">
        <v>1508.633</v>
      </c>
      <c r="K296" s="7">
        <v>1508.633</v>
      </c>
      <c r="L296" s="8">
        <v>1221.5050000000001</v>
      </c>
      <c r="M296" s="7">
        <v>28.558</v>
      </c>
      <c r="N296" s="7">
        <v>28.558</v>
      </c>
      <c r="O296" s="7">
        <v>27.666</v>
      </c>
      <c r="P296" s="7">
        <v>13</v>
      </c>
      <c r="Q296" s="7">
        <v>13</v>
      </c>
      <c r="R296" s="7">
        <v>12</v>
      </c>
    </row>
    <row r="297" spans="1:18" ht="29.5" customHeight="1" x14ac:dyDescent="0.2">
      <c r="A297" s="10" t="s">
        <v>1301</v>
      </c>
      <c r="B297" s="11" t="s">
        <v>1302</v>
      </c>
      <c r="C297" s="10" t="s">
        <v>1303</v>
      </c>
      <c r="D297" s="10" t="s">
        <v>1303</v>
      </c>
      <c r="E297" s="10" t="s">
        <v>1304</v>
      </c>
      <c r="F297" s="10" t="s">
        <v>21</v>
      </c>
      <c r="G297" s="10" t="s">
        <v>100</v>
      </c>
      <c r="H297" s="10" t="s">
        <v>62</v>
      </c>
      <c r="I297" s="10" t="str">
        <f>HYPERLINK("http://www.calzaturificiomusella.it/","www.calzaturificiomusella.it")</f>
        <v>www.calzaturificiomusella.it</v>
      </c>
      <c r="J297" s="12">
        <v>1255.4079999999999</v>
      </c>
      <c r="K297" s="12">
        <v>1255.4079999999999</v>
      </c>
      <c r="L297" s="12">
        <v>1221.346</v>
      </c>
      <c r="M297" s="12">
        <v>-27.263000000000002</v>
      </c>
      <c r="N297" s="12">
        <v>-27.263000000000002</v>
      </c>
      <c r="O297" s="12">
        <v>25.234000000000002</v>
      </c>
      <c r="P297" s="12">
        <v>11</v>
      </c>
      <c r="Q297" s="12">
        <v>11</v>
      </c>
      <c r="R297" s="12">
        <v>12</v>
      </c>
    </row>
    <row r="298" spans="1:18" ht="17" customHeight="1" x14ac:dyDescent="0.2">
      <c r="A298" s="5" t="s">
        <v>1305</v>
      </c>
      <c r="B298" s="6" t="s">
        <v>1306</v>
      </c>
      <c r="C298" s="5" t="s">
        <v>1307</v>
      </c>
      <c r="D298" s="5" t="s">
        <v>1307</v>
      </c>
      <c r="E298" s="5" t="s">
        <v>1308</v>
      </c>
      <c r="F298" s="5" t="s">
        <v>114</v>
      </c>
      <c r="G298" s="5" t="s">
        <v>73</v>
      </c>
      <c r="H298" s="5" t="s">
        <v>74</v>
      </c>
      <c r="I298" s="5" t="str">
        <f>HYPERLINK("http://knitknit.eu/","knitknit.eu")</f>
        <v>knitknit.eu</v>
      </c>
      <c r="J298" s="7">
        <v>1179.6790000000001</v>
      </c>
      <c r="K298" s="7">
        <v>1179.6790000000001</v>
      </c>
      <c r="L298" s="8">
        <v>1218.259</v>
      </c>
      <c r="M298" s="7">
        <v>17.536999999999999</v>
      </c>
      <c r="N298" s="7">
        <v>17.536999999999999</v>
      </c>
      <c r="O298" s="7">
        <v>20.779</v>
      </c>
      <c r="P298" s="7">
        <v>2</v>
      </c>
      <c r="Q298" s="7">
        <v>2</v>
      </c>
      <c r="R298" s="7">
        <v>3</v>
      </c>
    </row>
    <row r="299" spans="1:18" ht="17" customHeight="1" x14ac:dyDescent="0.2">
      <c r="A299" s="10" t="s">
        <v>1309</v>
      </c>
      <c r="B299" s="11" t="s">
        <v>1310</v>
      </c>
      <c r="C299" s="10" t="s">
        <v>1311</v>
      </c>
      <c r="D299" s="10" t="s">
        <v>1311</v>
      </c>
      <c r="E299" s="10" t="s">
        <v>1312</v>
      </c>
      <c r="F299" s="10" t="s">
        <v>48</v>
      </c>
      <c r="G299" s="10" t="s">
        <v>298</v>
      </c>
      <c r="H299" s="10" t="s">
        <v>299</v>
      </c>
      <c r="I299" s="10" t="str">
        <f>HYPERLINK("http://www.tassivanis.com/","www.tassivanis.com")</f>
        <v>www.tassivanis.com</v>
      </c>
      <c r="J299" s="12">
        <v>430.54599999999999</v>
      </c>
      <c r="K299" s="12">
        <v>430.54599999999999</v>
      </c>
      <c r="L299" s="12">
        <v>1218.1990000000001</v>
      </c>
      <c r="M299" s="12">
        <v>-72.578999999999994</v>
      </c>
      <c r="N299" s="12">
        <v>-72.578999999999994</v>
      </c>
      <c r="O299" s="12">
        <v>44.67</v>
      </c>
      <c r="P299" s="12">
        <v>2</v>
      </c>
      <c r="Q299" s="12">
        <v>2</v>
      </c>
      <c r="R299" s="12">
        <v>7</v>
      </c>
    </row>
    <row r="300" spans="1:18" ht="17" customHeight="1" x14ac:dyDescent="0.2">
      <c r="A300" s="5" t="s">
        <v>1313</v>
      </c>
      <c r="B300" s="6" t="s">
        <v>1314</v>
      </c>
      <c r="C300" s="5" t="s">
        <v>1315</v>
      </c>
      <c r="D300" s="5" t="s">
        <v>1315</v>
      </c>
      <c r="E300" s="5" t="s">
        <v>1316</v>
      </c>
      <c r="F300" s="5" t="s">
        <v>21</v>
      </c>
      <c r="G300" s="5" t="s">
        <v>140</v>
      </c>
      <c r="H300" s="5" t="s">
        <v>43</v>
      </c>
      <c r="I300" s="5" t="str">
        <f>HYPERLINK("http://www.newitaliashoes.it/","www.newitaliashoes.it")</f>
        <v>www.newitaliashoes.it</v>
      </c>
      <c r="J300" s="7">
        <v>1039.048</v>
      </c>
      <c r="K300" s="7">
        <v>1039.048</v>
      </c>
      <c r="L300" s="8">
        <v>1217.3520000000001</v>
      </c>
      <c r="M300" s="7">
        <v>3.0139999999999998</v>
      </c>
      <c r="N300" s="7">
        <v>3.0139999999999998</v>
      </c>
      <c r="O300" s="7">
        <v>9.5660000000000007</v>
      </c>
      <c r="P300" s="9" t="s">
        <v>24</v>
      </c>
      <c r="Q300" s="9" t="s">
        <v>24</v>
      </c>
      <c r="R300" s="7">
        <v>9</v>
      </c>
    </row>
    <row r="301" spans="1:18" ht="68" customHeight="1" x14ac:dyDescent="0.2">
      <c r="A301" s="10" t="s">
        <v>1317</v>
      </c>
      <c r="B301" s="11" t="s">
        <v>1318</v>
      </c>
      <c r="C301" s="10" t="s">
        <v>1319</v>
      </c>
      <c r="D301" s="10" t="s">
        <v>1319</v>
      </c>
      <c r="E301" s="10" t="s">
        <v>1320</v>
      </c>
      <c r="F301" s="10" t="s">
        <v>114</v>
      </c>
      <c r="G301" s="10" t="s">
        <v>22</v>
      </c>
      <c r="H301" s="10" t="s">
        <v>23</v>
      </c>
      <c r="I301" s="10" t="str">
        <f>HYPERLINK("http://publiartex.com/","publiartex.com")</f>
        <v>publiartex.com</v>
      </c>
      <c r="J301" s="12">
        <v>1476.6479999999999</v>
      </c>
      <c r="K301" s="12">
        <v>1476.6479999999999</v>
      </c>
      <c r="L301" s="12">
        <v>1216.376</v>
      </c>
      <c r="M301" s="12">
        <v>125.792</v>
      </c>
      <c r="N301" s="12">
        <v>125.792</v>
      </c>
      <c r="O301" s="12">
        <v>63.668999999999997</v>
      </c>
      <c r="P301" s="12">
        <v>7</v>
      </c>
      <c r="Q301" s="12">
        <v>7</v>
      </c>
      <c r="R301" s="12">
        <v>7</v>
      </c>
    </row>
    <row r="302" spans="1:18" ht="17" customHeight="1" x14ac:dyDescent="0.2">
      <c r="A302" s="5" t="s">
        <v>1321</v>
      </c>
      <c r="B302" s="6" t="s">
        <v>1322</v>
      </c>
      <c r="C302" s="5" t="s">
        <v>1323</v>
      </c>
      <c r="D302" s="5" t="s">
        <v>1323</v>
      </c>
      <c r="E302" s="5" t="s">
        <v>1324</v>
      </c>
      <c r="F302" s="5" t="s">
        <v>41</v>
      </c>
      <c r="G302" s="5" t="s">
        <v>224</v>
      </c>
      <c r="H302" s="5" t="s">
        <v>23</v>
      </c>
      <c r="I302" s="5" t="str">
        <f>HYPERLINK("http://www.ferradinibruno.it/","www.ferradinibruno.it")</f>
        <v>www.ferradinibruno.it</v>
      </c>
      <c r="J302" s="7">
        <v>1014.978</v>
      </c>
      <c r="K302" s="7">
        <v>1014.978</v>
      </c>
      <c r="L302" s="8">
        <v>1215.596</v>
      </c>
      <c r="M302" s="7">
        <v>-6.1989999999999998</v>
      </c>
      <c r="N302" s="7">
        <v>-6.1989999999999998</v>
      </c>
      <c r="O302" s="7">
        <v>12.867000000000001</v>
      </c>
      <c r="P302" s="7">
        <v>14</v>
      </c>
      <c r="Q302" s="7">
        <v>14</v>
      </c>
      <c r="R302" s="7">
        <v>15</v>
      </c>
    </row>
    <row r="303" spans="1:18" ht="17" customHeight="1" x14ac:dyDescent="0.2">
      <c r="A303" s="10" t="s">
        <v>1325</v>
      </c>
      <c r="B303" s="11" t="s">
        <v>1326</v>
      </c>
      <c r="C303" s="10" t="s">
        <v>1327</v>
      </c>
      <c r="D303" s="10" t="s">
        <v>1327</v>
      </c>
      <c r="E303" s="10" t="s">
        <v>1328</v>
      </c>
      <c r="F303" s="10" t="s">
        <v>29</v>
      </c>
      <c r="G303" s="10" t="s">
        <v>140</v>
      </c>
      <c r="H303" s="10" t="s">
        <v>43</v>
      </c>
      <c r="I303" s="10" t="str">
        <f>HYPERLINK("http://alp1964.it/","alp1964.it")</f>
        <v>alp1964.it</v>
      </c>
      <c r="J303" s="12">
        <v>1316.2529999999999</v>
      </c>
      <c r="K303" s="12">
        <v>1316.2529999999999</v>
      </c>
      <c r="L303" s="12">
        <v>1215.376</v>
      </c>
      <c r="M303" s="12">
        <v>109.262</v>
      </c>
      <c r="N303" s="12">
        <v>109.262</v>
      </c>
      <c r="O303" s="12">
        <v>11.199</v>
      </c>
      <c r="P303" s="12">
        <v>8</v>
      </c>
      <c r="Q303" s="12">
        <v>8</v>
      </c>
      <c r="R303" s="12">
        <v>6</v>
      </c>
    </row>
    <row r="304" spans="1:18" ht="17" customHeight="1" x14ac:dyDescent="0.2">
      <c r="A304" s="5" t="s">
        <v>1329</v>
      </c>
      <c r="B304" s="6" t="s">
        <v>1330</v>
      </c>
      <c r="C304" s="5" t="s">
        <v>1331</v>
      </c>
      <c r="D304" s="5" t="s">
        <v>1331</v>
      </c>
      <c r="E304" s="5" t="s">
        <v>1332</v>
      </c>
      <c r="F304" s="5" t="s">
        <v>325</v>
      </c>
      <c r="G304" s="5" t="s">
        <v>298</v>
      </c>
      <c r="H304" s="5" t="s">
        <v>299</v>
      </c>
      <c r="I304" s="5" t="str">
        <f>HYPERLINK("http://www.elisabettaminellimaglieria.it/","www.elisabettaminellimaglieria.it")</f>
        <v>www.elisabettaminellimaglieria.it</v>
      </c>
      <c r="J304" s="7">
        <v>1048.2139999999999</v>
      </c>
      <c r="K304" s="7">
        <v>1048.2139999999999</v>
      </c>
      <c r="L304" s="8">
        <v>1214.835</v>
      </c>
      <c r="M304" s="7">
        <v>3.2789999999999999</v>
      </c>
      <c r="N304" s="7">
        <v>3.2789999999999999</v>
      </c>
      <c r="O304" s="7">
        <v>2.6019999999999999</v>
      </c>
      <c r="P304" s="9" t="s">
        <v>24</v>
      </c>
      <c r="Q304" s="9" t="s">
        <v>24</v>
      </c>
      <c r="R304" s="7">
        <v>4</v>
      </c>
    </row>
    <row r="305" spans="1:18" ht="17" customHeight="1" x14ac:dyDescent="0.2">
      <c r="A305" s="10" t="s">
        <v>1333</v>
      </c>
      <c r="B305" s="11" t="s">
        <v>1334</v>
      </c>
      <c r="C305" s="10" t="s">
        <v>1335</v>
      </c>
      <c r="D305" s="10" t="s">
        <v>1335</v>
      </c>
      <c r="E305" s="10" t="s">
        <v>1336</v>
      </c>
      <c r="F305" s="10" t="s">
        <v>41</v>
      </c>
      <c r="G305" s="10" t="s">
        <v>224</v>
      </c>
      <c r="H305" s="10" t="s">
        <v>23</v>
      </c>
      <c r="I305" s="10" t="str">
        <f>HYPERLINK("http://www.ghepardo.it/","www.ghepardo.it")</f>
        <v>www.ghepardo.it</v>
      </c>
      <c r="J305" s="12">
        <v>1527.3689999999999</v>
      </c>
      <c r="K305" s="12">
        <v>1527.3689999999999</v>
      </c>
      <c r="L305" s="12">
        <v>1214.6010000000001</v>
      </c>
      <c r="M305" s="12">
        <v>52.847000000000001</v>
      </c>
      <c r="N305" s="12">
        <v>52.847000000000001</v>
      </c>
      <c r="O305" s="12">
        <v>39.764000000000003</v>
      </c>
      <c r="P305" s="12">
        <v>6</v>
      </c>
      <c r="Q305" s="12">
        <v>6</v>
      </c>
      <c r="R305" s="12">
        <v>6</v>
      </c>
    </row>
    <row r="306" spans="1:18" ht="17" customHeight="1" x14ac:dyDescent="0.2">
      <c r="A306" s="5" t="s">
        <v>1337</v>
      </c>
      <c r="B306" s="6" t="s">
        <v>1338</v>
      </c>
      <c r="C306" s="5" t="s">
        <v>1339</v>
      </c>
      <c r="D306" s="5" t="s">
        <v>1339</v>
      </c>
      <c r="E306" s="5" t="s">
        <v>1340</v>
      </c>
      <c r="F306" s="5" t="s">
        <v>105</v>
      </c>
      <c r="G306" s="5" t="s">
        <v>158</v>
      </c>
      <c r="H306" s="5" t="s">
        <v>159</v>
      </c>
      <c r="I306" s="5" t="str">
        <f>HYPERLINK("http://www.manifatturevignola.com/","www.manifatturevignola.com")</f>
        <v>www.manifatturevignola.com</v>
      </c>
      <c r="J306" s="7">
        <v>1296.127</v>
      </c>
      <c r="K306" s="7">
        <v>1296.127</v>
      </c>
      <c r="L306" s="8">
        <v>1214.1020000000001</v>
      </c>
      <c r="M306" s="7">
        <v>107.051</v>
      </c>
      <c r="N306" s="7">
        <v>107.051</v>
      </c>
      <c r="O306" s="7">
        <v>68.688000000000002</v>
      </c>
      <c r="P306" s="7">
        <v>6</v>
      </c>
      <c r="Q306" s="7">
        <v>6</v>
      </c>
      <c r="R306" s="7">
        <v>7</v>
      </c>
    </row>
    <row r="307" spans="1:18" ht="17" customHeight="1" x14ac:dyDescent="0.2">
      <c r="A307" s="10" t="s">
        <v>1341</v>
      </c>
      <c r="B307" s="11" t="s">
        <v>1342</v>
      </c>
      <c r="C307" s="10" t="s">
        <v>1343</v>
      </c>
      <c r="D307" s="10" t="s">
        <v>1343</v>
      </c>
      <c r="E307" s="10" t="s">
        <v>1344</v>
      </c>
      <c r="F307" s="10" t="s">
        <v>114</v>
      </c>
      <c r="G307" s="10" t="s">
        <v>437</v>
      </c>
      <c r="H307" s="10" t="s">
        <v>407</v>
      </c>
      <c r="I307" s="10" t="str">
        <f>HYPERLINK("http://www.jqjeans.eu/","www.jqjeans.eu")</f>
        <v>www.jqjeans.eu</v>
      </c>
      <c r="J307" s="12">
        <v>772.93299999999999</v>
      </c>
      <c r="K307" s="12">
        <v>772.93299999999999</v>
      </c>
      <c r="L307" s="12">
        <v>1213.3579999999999</v>
      </c>
      <c r="M307" s="12">
        <v>-18.827000000000002</v>
      </c>
      <c r="N307" s="12">
        <v>-18.827000000000002</v>
      </c>
      <c r="O307" s="12">
        <v>25.535</v>
      </c>
      <c r="P307" s="13" t="s">
        <v>24</v>
      </c>
      <c r="Q307" s="13" t="s">
        <v>24</v>
      </c>
      <c r="R307" s="12">
        <v>8</v>
      </c>
    </row>
    <row r="308" spans="1:18" ht="43" customHeight="1" x14ac:dyDescent="0.2">
      <c r="A308" s="5" t="s">
        <v>1345</v>
      </c>
      <c r="B308" s="6" t="s">
        <v>1346</v>
      </c>
      <c r="C308" s="5" t="s">
        <v>1347</v>
      </c>
      <c r="D308" s="5" t="s">
        <v>1347</v>
      </c>
      <c r="E308" s="5" t="s">
        <v>1348</v>
      </c>
      <c r="F308" s="5" t="s">
        <v>29</v>
      </c>
      <c r="G308" s="5" t="s">
        <v>229</v>
      </c>
      <c r="H308" s="5" t="s">
        <v>31</v>
      </c>
      <c r="I308" s="5" t="str">
        <f>HYPERLINK("http://www.malcom-italy.it/it/studio-tessile","www.malcom-italy.it/it/studio-tessile")</f>
        <v>www.malcom-italy.it/it/studio-tessile</v>
      </c>
      <c r="J308" s="7">
        <v>1518.9760000000001</v>
      </c>
      <c r="K308" s="7">
        <v>1518.9760000000001</v>
      </c>
      <c r="L308" s="8">
        <v>1212.3009999999999</v>
      </c>
      <c r="M308" s="7">
        <v>0.214</v>
      </c>
      <c r="N308" s="7">
        <v>0.214</v>
      </c>
      <c r="O308" s="7">
        <v>5.0609999999999999</v>
      </c>
      <c r="P308" s="7">
        <v>6</v>
      </c>
      <c r="Q308" s="7">
        <v>6</v>
      </c>
      <c r="R308" s="7">
        <v>6</v>
      </c>
    </row>
    <row r="309" spans="1:18" ht="17" customHeight="1" x14ac:dyDescent="0.2">
      <c r="A309" s="10" t="s">
        <v>1349</v>
      </c>
      <c r="B309" s="11" t="s">
        <v>1350</v>
      </c>
      <c r="C309" s="10" t="s">
        <v>1351</v>
      </c>
      <c r="D309" s="10" t="s">
        <v>1351</v>
      </c>
      <c r="E309" s="10" t="s">
        <v>1352</v>
      </c>
      <c r="F309" s="10" t="s">
        <v>99</v>
      </c>
      <c r="G309" s="10" t="s">
        <v>503</v>
      </c>
      <c r="H309" s="10" t="s">
        <v>62</v>
      </c>
      <c r="I309" s="10" t="str">
        <f>HYPERLINK("http://www.depianpel.it/","www.depianpel.it")</f>
        <v>www.depianpel.it</v>
      </c>
      <c r="J309" s="12">
        <v>1180.934</v>
      </c>
      <c r="K309" s="12">
        <v>1180.934</v>
      </c>
      <c r="L309" s="12">
        <v>1211.1410000000001</v>
      </c>
      <c r="M309" s="12">
        <v>73.147000000000006</v>
      </c>
      <c r="N309" s="12">
        <v>73.147000000000006</v>
      </c>
      <c r="O309" s="12">
        <v>124.143</v>
      </c>
      <c r="P309" s="12">
        <v>11</v>
      </c>
      <c r="Q309" s="12">
        <v>11</v>
      </c>
      <c r="R309" s="12">
        <v>11</v>
      </c>
    </row>
    <row r="310" spans="1:18" ht="17" customHeight="1" x14ac:dyDescent="0.2">
      <c r="A310" s="5" t="s">
        <v>1353</v>
      </c>
      <c r="B310" s="6" t="s">
        <v>1354</v>
      </c>
      <c r="C310" s="5" t="s">
        <v>1355</v>
      </c>
      <c r="D310" s="5" t="s">
        <v>1355</v>
      </c>
      <c r="E310" s="5" t="s">
        <v>1356</v>
      </c>
      <c r="F310" s="5" t="s">
        <v>181</v>
      </c>
      <c r="G310" s="5" t="s">
        <v>176</v>
      </c>
      <c r="H310" s="5" t="s">
        <v>56</v>
      </c>
      <c r="I310" s="5" t="str">
        <f>HYPERLINK("http://ommysrl.it/","ommysrl.it")</f>
        <v>ommysrl.it</v>
      </c>
      <c r="J310" s="7">
        <v>1155.6189999999999</v>
      </c>
      <c r="K310" s="7">
        <v>1155.6189999999999</v>
      </c>
      <c r="L310" s="8">
        <v>1211.145</v>
      </c>
      <c r="M310" s="7">
        <v>5.4560000000000004</v>
      </c>
      <c r="N310" s="7">
        <v>5.4560000000000004</v>
      </c>
      <c r="O310" s="7">
        <v>16.196000000000002</v>
      </c>
      <c r="P310" s="7">
        <v>19</v>
      </c>
      <c r="Q310" s="7">
        <v>19</v>
      </c>
      <c r="R310" s="7">
        <v>7</v>
      </c>
    </row>
    <row r="311" spans="1:18" ht="17" customHeight="1" x14ac:dyDescent="0.2">
      <c r="A311" s="10" t="s">
        <v>1357</v>
      </c>
      <c r="B311" s="11" t="s">
        <v>1358</v>
      </c>
      <c r="C311" s="10" t="s">
        <v>1359</v>
      </c>
      <c r="D311" s="10" t="s">
        <v>1359</v>
      </c>
      <c r="E311" s="10" t="s">
        <v>1360</v>
      </c>
      <c r="F311" s="10" t="s">
        <v>29</v>
      </c>
      <c r="G311" s="10" t="s">
        <v>190</v>
      </c>
      <c r="H311" s="10" t="s">
        <v>74</v>
      </c>
      <c r="I311" s="10" t="str">
        <f>HYPERLINK("http://www.lauraurbinati.com/","www.lauraurbinati.com")</f>
        <v>www.lauraurbinati.com</v>
      </c>
      <c r="J311" s="12">
        <v>1342.616</v>
      </c>
      <c r="K311" s="12">
        <v>1342.616</v>
      </c>
      <c r="L311" s="12">
        <v>1206.9359999999999</v>
      </c>
      <c r="M311" s="12">
        <v>6.7569999999999997</v>
      </c>
      <c r="N311" s="12">
        <v>6.7569999999999997</v>
      </c>
      <c r="O311" s="12">
        <v>8.7479999999999993</v>
      </c>
      <c r="P311" s="13" t="s">
        <v>24</v>
      </c>
      <c r="Q311" s="13" t="s">
        <v>24</v>
      </c>
      <c r="R311" s="12">
        <v>6</v>
      </c>
    </row>
    <row r="312" spans="1:18" ht="17" customHeight="1" x14ac:dyDescent="0.2">
      <c r="A312" s="5" t="s">
        <v>1361</v>
      </c>
      <c r="B312" s="6" t="s">
        <v>1362</v>
      </c>
      <c r="C312" s="5" t="s">
        <v>1363</v>
      </c>
      <c r="D312" s="5" t="s">
        <v>1363</v>
      </c>
      <c r="E312" s="5" t="s">
        <v>1364</v>
      </c>
      <c r="F312" s="5" t="s">
        <v>29</v>
      </c>
      <c r="G312" s="5" t="s">
        <v>1210</v>
      </c>
      <c r="H312" s="5" t="s">
        <v>1132</v>
      </c>
      <c r="I312" s="5" t="str">
        <f>HYPERLINK("http://vivaldimoda.it/","vivaldimoda.it")</f>
        <v>vivaldimoda.it</v>
      </c>
      <c r="J312" s="7">
        <v>1138.1559999999999</v>
      </c>
      <c r="K312" s="7">
        <v>1138.1559999999999</v>
      </c>
      <c r="L312" s="8">
        <v>1206.751</v>
      </c>
      <c r="M312" s="7">
        <v>31.123999999999999</v>
      </c>
      <c r="N312" s="7">
        <v>31.123999999999999</v>
      </c>
      <c r="O312" s="7">
        <v>126.55800000000001</v>
      </c>
      <c r="P312" s="7">
        <v>7</v>
      </c>
      <c r="Q312" s="7">
        <v>7</v>
      </c>
      <c r="R312" s="7">
        <v>11</v>
      </c>
    </row>
    <row r="313" spans="1:18" ht="17" customHeight="1" x14ac:dyDescent="0.2">
      <c r="A313" s="10" t="s">
        <v>1365</v>
      </c>
      <c r="B313" s="11" t="s">
        <v>1366</v>
      </c>
      <c r="C313" s="10" t="s">
        <v>1367</v>
      </c>
      <c r="D313" s="10" t="s">
        <v>1367</v>
      </c>
      <c r="E313" s="10" t="s">
        <v>1368</v>
      </c>
      <c r="F313" s="10" t="s">
        <v>114</v>
      </c>
      <c r="G313" s="10" t="s">
        <v>94</v>
      </c>
      <c r="H313" s="10" t="s">
        <v>62</v>
      </c>
      <c r="I313" s="10" t="str">
        <f>HYPERLINK("http://www.viben.it/","http://www.viben.it")</f>
        <v>http://www.viben.it</v>
      </c>
      <c r="J313" s="12">
        <v>1562.0119999999999</v>
      </c>
      <c r="K313" s="12">
        <v>1562.0119999999999</v>
      </c>
      <c r="L313" s="12">
        <v>1205.5940000000001</v>
      </c>
      <c r="M313" s="12">
        <v>13.866</v>
      </c>
      <c r="N313" s="12">
        <v>13.866</v>
      </c>
      <c r="O313" s="12">
        <v>3.9039999999999999</v>
      </c>
      <c r="P313" s="12">
        <v>9</v>
      </c>
      <c r="Q313" s="12">
        <v>9</v>
      </c>
      <c r="R313" s="12">
        <v>9</v>
      </c>
    </row>
    <row r="314" spans="1:18" ht="17" customHeight="1" x14ac:dyDescent="0.2">
      <c r="A314" s="5" t="s">
        <v>1369</v>
      </c>
      <c r="B314" s="6" t="s">
        <v>1370</v>
      </c>
      <c r="C314" s="5" t="s">
        <v>1371</v>
      </c>
      <c r="D314" s="5" t="s">
        <v>1371</v>
      </c>
      <c r="E314" s="5" t="s">
        <v>1372</v>
      </c>
      <c r="F314" s="5" t="s">
        <v>367</v>
      </c>
      <c r="G314" s="5" t="s">
        <v>713</v>
      </c>
      <c r="H314" s="5" t="s">
        <v>299</v>
      </c>
      <c r="I314" s="5" t="str">
        <f>HYPERLINK("http://www.paceprofessional.it/","www.paceprofessional.it")</f>
        <v>www.paceprofessional.it</v>
      </c>
      <c r="J314" s="7">
        <v>907.37</v>
      </c>
      <c r="K314" s="7">
        <v>907.37</v>
      </c>
      <c r="L314" s="8">
        <v>1204.9059999999999</v>
      </c>
      <c r="M314" s="7">
        <v>-67.769000000000005</v>
      </c>
      <c r="N314" s="7">
        <v>-67.769000000000005</v>
      </c>
      <c r="O314" s="7">
        <v>107.93899999999999</v>
      </c>
      <c r="P314" s="7">
        <v>8</v>
      </c>
      <c r="Q314" s="7">
        <v>8</v>
      </c>
      <c r="R314" s="7">
        <v>7</v>
      </c>
    </row>
    <row r="315" spans="1:18" ht="17" customHeight="1" x14ac:dyDescent="0.2">
      <c r="A315" s="10" t="s">
        <v>1373</v>
      </c>
      <c r="B315" s="11" t="s">
        <v>1374</v>
      </c>
      <c r="C315" s="10" t="s">
        <v>1375</v>
      </c>
      <c r="D315" s="10" t="s">
        <v>1375</v>
      </c>
      <c r="E315" s="10" t="s">
        <v>1376</v>
      </c>
      <c r="F315" s="10" t="s">
        <v>41</v>
      </c>
      <c r="G315" s="10" t="s">
        <v>224</v>
      </c>
      <c r="H315" s="10" t="s">
        <v>23</v>
      </c>
      <c r="I315" s="10" t="str">
        <f>HYPERLINK("http://www.conceriacerbiatto.it/","www.conceriacerbiatto.it")</f>
        <v>www.conceriacerbiatto.it</v>
      </c>
      <c r="J315" s="12">
        <v>909.99900000000002</v>
      </c>
      <c r="K315" s="12">
        <v>909.99900000000002</v>
      </c>
      <c r="L315" s="12">
        <v>1203.77</v>
      </c>
      <c r="M315" s="12">
        <v>20.053999999999998</v>
      </c>
      <c r="N315" s="12">
        <v>20.053999999999998</v>
      </c>
      <c r="O315" s="12">
        <v>156.72999999999999</v>
      </c>
      <c r="P315" s="13" t="s">
        <v>24</v>
      </c>
      <c r="Q315" s="13" t="s">
        <v>24</v>
      </c>
      <c r="R315" s="12">
        <v>5</v>
      </c>
    </row>
    <row r="316" spans="1:18" ht="17" customHeight="1" x14ac:dyDescent="0.2">
      <c r="A316" s="5" t="s">
        <v>1377</v>
      </c>
      <c r="B316" s="6" t="s">
        <v>1378</v>
      </c>
      <c r="C316" s="5" t="s">
        <v>1379</v>
      </c>
      <c r="D316" s="5" t="s">
        <v>1379</v>
      </c>
      <c r="E316" s="5" t="s">
        <v>1380</v>
      </c>
      <c r="F316" s="5" t="s">
        <v>48</v>
      </c>
      <c r="G316" s="5" t="s">
        <v>1131</v>
      </c>
      <c r="H316" s="5" t="s">
        <v>1132</v>
      </c>
      <c r="I316" s="5" t="str">
        <f>HYPERLINK("http://www.endscuoio.com/","www.endscuoio.com")</f>
        <v>www.endscuoio.com</v>
      </c>
      <c r="J316" s="7">
        <v>1130.587</v>
      </c>
      <c r="K316" s="7">
        <v>1130.587</v>
      </c>
      <c r="L316" s="8">
        <v>1203.7360000000001</v>
      </c>
      <c r="M316" s="7">
        <v>114.745</v>
      </c>
      <c r="N316" s="7">
        <v>114.745</v>
      </c>
      <c r="O316" s="7">
        <v>65.415000000000006</v>
      </c>
      <c r="P316" s="7">
        <v>13</v>
      </c>
      <c r="Q316" s="7">
        <v>13</v>
      </c>
      <c r="R316" s="7">
        <v>14</v>
      </c>
    </row>
    <row r="317" spans="1:18" ht="17" customHeight="1" x14ac:dyDescent="0.2">
      <c r="A317" s="10" t="s">
        <v>1381</v>
      </c>
      <c r="B317" s="11" t="s">
        <v>1382</v>
      </c>
      <c r="C317" s="10" t="s">
        <v>1383</v>
      </c>
      <c r="D317" s="10" t="s">
        <v>1383</v>
      </c>
      <c r="E317" s="10" t="s">
        <v>1384</v>
      </c>
      <c r="F317" s="10" t="s">
        <v>462</v>
      </c>
      <c r="G317" s="10" t="s">
        <v>1385</v>
      </c>
      <c r="H317" s="10" t="s">
        <v>43</v>
      </c>
      <c r="I317" s="10" t="str">
        <f>HYPERLINK("http://ottobconfezioni.it/","ottobconfezioni.it")</f>
        <v>ottobconfezioni.it</v>
      </c>
      <c r="J317" s="12">
        <v>1664.6869999999999</v>
      </c>
      <c r="K317" s="12">
        <v>1664.6869999999999</v>
      </c>
      <c r="L317" s="12">
        <v>1203.374</v>
      </c>
      <c r="M317" s="12">
        <v>437.673</v>
      </c>
      <c r="N317" s="12">
        <v>437.673</v>
      </c>
      <c r="O317" s="12">
        <v>125.91200000000001</v>
      </c>
      <c r="P317" s="12">
        <v>12</v>
      </c>
      <c r="Q317" s="12">
        <v>12</v>
      </c>
      <c r="R317" s="12">
        <v>12</v>
      </c>
    </row>
    <row r="318" spans="1:18" ht="17" customHeight="1" x14ac:dyDescent="0.2">
      <c r="A318" s="5" t="s">
        <v>1386</v>
      </c>
      <c r="B318" s="6" t="s">
        <v>1387</v>
      </c>
      <c r="C318" s="5" t="s">
        <v>1388</v>
      </c>
      <c r="D318" s="5" t="s">
        <v>1388</v>
      </c>
      <c r="E318" s="5" t="s">
        <v>1389</v>
      </c>
      <c r="F318" s="5" t="s">
        <v>860</v>
      </c>
      <c r="G318" s="5" t="s">
        <v>120</v>
      </c>
      <c r="H318" s="5" t="s">
        <v>121</v>
      </c>
      <c r="I318" s="5" t="str">
        <f>HYPERLINK("http://tivioli.it/","tivioli.it")</f>
        <v>tivioli.it</v>
      </c>
      <c r="J318" s="7">
        <v>1761.8330000000001</v>
      </c>
      <c r="K318" s="7">
        <v>1761.8330000000001</v>
      </c>
      <c r="L318" s="8">
        <v>1203.0229999999999</v>
      </c>
      <c r="M318" s="7">
        <v>425.32400000000001</v>
      </c>
      <c r="N318" s="7">
        <v>425.32400000000001</v>
      </c>
      <c r="O318" s="7">
        <v>125.923</v>
      </c>
      <c r="P318" s="7">
        <v>22</v>
      </c>
      <c r="Q318" s="7">
        <v>22</v>
      </c>
      <c r="R318" s="7">
        <v>18</v>
      </c>
    </row>
    <row r="319" spans="1:18" ht="17" customHeight="1" x14ac:dyDescent="0.2">
      <c r="A319" s="10" t="s">
        <v>1390</v>
      </c>
      <c r="B319" s="11" t="s">
        <v>1391</v>
      </c>
      <c r="C319" s="10" t="s">
        <v>1392</v>
      </c>
      <c r="D319" s="10" t="s">
        <v>1392</v>
      </c>
      <c r="E319" s="10" t="s">
        <v>1393</v>
      </c>
      <c r="F319" s="10" t="s">
        <v>54</v>
      </c>
      <c r="G319" s="10" t="s">
        <v>79</v>
      </c>
      <c r="H319" s="10" t="s">
        <v>56</v>
      </c>
      <c r="I319" s="10" t="str">
        <f>HYPERLINK("http://www.zenitsrl2018.it/","www.zenitsrl2018.it")</f>
        <v>www.zenitsrl2018.it</v>
      </c>
      <c r="J319" s="12">
        <v>1375.3</v>
      </c>
      <c r="K319" s="12">
        <v>1375.3</v>
      </c>
      <c r="L319" s="12">
        <v>1201.934</v>
      </c>
      <c r="M319" s="12">
        <v>1.3260000000000001</v>
      </c>
      <c r="N319" s="12">
        <v>1.3260000000000001</v>
      </c>
      <c r="O319" s="12">
        <v>6.7290000000000001</v>
      </c>
      <c r="P319" s="12">
        <v>14</v>
      </c>
      <c r="Q319" s="12">
        <v>14</v>
      </c>
      <c r="R319" s="12">
        <v>7</v>
      </c>
    </row>
    <row r="320" spans="1:18" ht="17" customHeight="1" x14ac:dyDescent="0.2">
      <c r="A320" s="5" t="s">
        <v>1394</v>
      </c>
      <c r="B320" s="6" t="s">
        <v>1395</v>
      </c>
      <c r="C320" s="5" t="s">
        <v>1396</v>
      </c>
      <c r="D320" s="5" t="s">
        <v>1396</v>
      </c>
      <c r="E320" s="5" t="s">
        <v>1397</v>
      </c>
      <c r="F320" s="5" t="s">
        <v>181</v>
      </c>
      <c r="G320" s="5" t="s">
        <v>298</v>
      </c>
      <c r="H320" s="5" t="s">
        <v>299</v>
      </c>
      <c r="I320" s="5" t="str">
        <f>HYPERLINK("http://www.gbm-maglieria.it/","www.gbm-maglieria.it")</f>
        <v>www.gbm-maglieria.it</v>
      </c>
      <c r="J320" s="7">
        <v>818.13699999999994</v>
      </c>
      <c r="K320" s="7">
        <v>818.13699999999994</v>
      </c>
      <c r="L320" s="8">
        <v>1201.768</v>
      </c>
      <c r="M320" s="7">
        <v>-5.7089999999999996</v>
      </c>
      <c r="N320" s="7">
        <v>-5.7089999999999996</v>
      </c>
      <c r="O320" s="7">
        <v>3.024</v>
      </c>
      <c r="P320" s="7">
        <v>5</v>
      </c>
      <c r="Q320" s="7">
        <v>5</v>
      </c>
      <c r="R320" s="7">
        <v>9</v>
      </c>
    </row>
    <row r="321" spans="1:18" ht="29.5" customHeight="1" x14ac:dyDescent="0.2">
      <c r="A321" s="10" t="s">
        <v>1398</v>
      </c>
      <c r="B321" s="11" t="s">
        <v>1399</v>
      </c>
      <c r="C321" s="10" t="s">
        <v>1400</v>
      </c>
      <c r="D321" s="10" t="s">
        <v>1400</v>
      </c>
      <c r="E321" s="10" t="s">
        <v>1401</v>
      </c>
      <c r="F321" s="10" t="s">
        <v>134</v>
      </c>
      <c r="G321" s="10" t="s">
        <v>1210</v>
      </c>
      <c r="H321" s="10" t="s">
        <v>1132</v>
      </c>
      <c r="I321" s="10" t="str">
        <f>HYPERLINK("http://www.ateliercurti.com/","www.ateliercurti.com")</f>
        <v>www.ateliercurti.com</v>
      </c>
      <c r="J321" s="12">
        <v>1386.1980000000001</v>
      </c>
      <c r="K321" s="12">
        <v>1386.1980000000001</v>
      </c>
      <c r="L321" s="12">
        <v>1198.402</v>
      </c>
      <c r="M321" s="12">
        <v>103.92400000000001</v>
      </c>
      <c r="N321" s="12">
        <v>103.92400000000001</v>
      </c>
      <c r="O321" s="12">
        <v>49.970999999999997</v>
      </c>
      <c r="P321" s="12">
        <v>17</v>
      </c>
      <c r="Q321" s="12">
        <v>17</v>
      </c>
      <c r="R321" s="12">
        <v>18</v>
      </c>
    </row>
    <row r="322" spans="1:18" ht="17" customHeight="1" x14ac:dyDescent="0.2">
      <c r="A322" s="5" t="s">
        <v>1402</v>
      </c>
      <c r="B322" s="6" t="s">
        <v>1403</v>
      </c>
      <c r="C322" s="5" t="s">
        <v>1404</v>
      </c>
      <c r="D322" s="5" t="s">
        <v>1404</v>
      </c>
      <c r="E322" s="5" t="s">
        <v>1405</v>
      </c>
      <c r="F322" s="5" t="s">
        <v>181</v>
      </c>
      <c r="G322" s="5" t="s">
        <v>79</v>
      </c>
      <c r="H322" s="5" t="s">
        <v>56</v>
      </c>
      <c r="I322" s="5" t="str">
        <f>HYPERLINK("http://www.outlet-tomas.com/","www.outlet-tomas.com")</f>
        <v>www.outlet-tomas.com</v>
      </c>
      <c r="J322" s="7">
        <v>1835.1089999999999</v>
      </c>
      <c r="K322" s="7">
        <v>1835.1089999999999</v>
      </c>
      <c r="L322" s="8">
        <v>1198.229</v>
      </c>
      <c r="M322" s="7">
        <v>0.11</v>
      </c>
      <c r="N322" s="7">
        <v>0.11</v>
      </c>
      <c r="O322" s="7">
        <v>19.065999999999999</v>
      </c>
      <c r="P322" s="7">
        <v>17</v>
      </c>
      <c r="Q322" s="7">
        <v>17</v>
      </c>
      <c r="R322" s="7">
        <v>14</v>
      </c>
    </row>
    <row r="323" spans="1:18" ht="17" customHeight="1" x14ac:dyDescent="0.2">
      <c r="A323" s="10" t="s">
        <v>1406</v>
      </c>
      <c r="B323" s="11" t="s">
        <v>1407</v>
      </c>
      <c r="C323" s="10" t="s">
        <v>1408</v>
      </c>
      <c r="D323" s="10" t="s">
        <v>1408</v>
      </c>
      <c r="E323" s="10" t="s">
        <v>1409</v>
      </c>
      <c r="F323" s="10" t="s">
        <v>105</v>
      </c>
      <c r="G323" s="10" t="s">
        <v>308</v>
      </c>
      <c r="H323" s="10" t="s">
        <v>299</v>
      </c>
      <c r="I323" s="10" t="str">
        <f>HYPERLINK("http://www.catya.it/","www.catya.it")</f>
        <v>www.catya.it</v>
      </c>
      <c r="J323" s="12">
        <v>1035.0519999999999</v>
      </c>
      <c r="K323" s="12">
        <v>1035.0519999999999</v>
      </c>
      <c r="L323" s="12">
        <v>1197.2619999999999</v>
      </c>
      <c r="M323" s="12">
        <v>6.9530000000000003</v>
      </c>
      <c r="N323" s="12">
        <v>6.9530000000000003</v>
      </c>
      <c r="O323" s="12">
        <v>32.51</v>
      </c>
      <c r="P323" s="12">
        <v>28</v>
      </c>
      <c r="Q323" s="12">
        <v>28</v>
      </c>
      <c r="R323" s="12">
        <v>30</v>
      </c>
    </row>
    <row r="324" spans="1:18" ht="29.5" customHeight="1" x14ac:dyDescent="0.2">
      <c r="A324" s="5" t="s">
        <v>1410</v>
      </c>
      <c r="B324" s="6" t="s">
        <v>1411</v>
      </c>
      <c r="C324" s="5" t="s">
        <v>1412</v>
      </c>
      <c r="D324" s="5" t="s">
        <v>1412</v>
      </c>
      <c r="E324" s="5" t="s">
        <v>1413</v>
      </c>
      <c r="F324" s="5" t="s">
        <v>54</v>
      </c>
      <c r="G324" s="5" t="s">
        <v>115</v>
      </c>
      <c r="H324" s="5" t="s">
        <v>43</v>
      </c>
      <c r="I324" s="5" t="str">
        <f>HYPERLINK("http://www.volbal.it/","www.volbal.it")</f>
        <v>www.volbal.it</v>
      </c>
      <c r="J324" s="7">
        <v>1081.4259999999999</v>
      </c>
      <c r="K324" s="7">
        <v>1081.4259999999999</v>
      </c>
      <c r="L324" s="8">
        <v>1195.855</v>
      </c>
      <c r="M324" s="7">
        <v>5.8840000000000003</v>
      </c>
      <c r="N324" s="7">
        <v>5.8840000000000003</v>
      </c>
      <c r="O324" s="7">
        <v>1.1850000000000001</v>
      </c>
      <c r="P324" s="7">
        <v>16</v>
      </c>
      <c r="Q324" s="7">
        <v>16</v>
      </c>
      <c r="R324" s="7">
        <v>19</v>
      </c>
    </row>
    <row r="325" spans="1:18" ht="29.5" customHeight="1" x14ac:dyDescent="0.2">
      <c r="A325" s="10" t="s">
        <v>1414</v>
      </c>
      <c r="B325" s="11" t="s">
        <v>1415</v>
      </c>
      <c r="C325" s="10" t="s">
        <v>1416</v>
      </c>
      <c r="D325" s="10" t="s">
        <v>1416</v>
      </c>
      <c r="E325" s="10" t="s">
        <v>1417</v>
      </c>
      <c r="F325" s="10" t="s">
        <v>41</v>
      </c>
      <c r="G325" s="10" t="s">
        <v>79</v>
      </c>
      <c r="H325" s="10" t="s">
        <v>56</v>
      </c>
      <c r="I325" s="10" t="str">
        <f>HYPERLINK("http://www.lavorazionepellamicentanni.it/","www.lavorazionepellamicentanni.it")</f>
        <v>www.lavorazionepellamicentanni.it</v>
      </c>
      <c r="J325" s="12">
        <v>943.93299999999999</v>
      </c>
      <c r="K325" s="12">
        <v>943.93299999999999</v>
      </c>
      <c r="L325" s="12">
        <v>1195.6220000000001</v>
      </c>
      <c r="M325" s="12">
        <v>-26.423999999999999</v>
      </c>
      <c r="N325" s="12">
        <v>-26.423999999999999</v>
      </c>
      <c r="O325" s="12">
        <v>10.79</v>
      </c>
      <c r="P325" s="12">
        <v>14</v>
      </c>
      <c r="Q325" s="12">
        <v>14</v>
      </c>
      <c r="R325" s="12">
        <v>15</v>
      </c>
    </row>
    <row r="326" spans="1:18" ht="17" customHeight="1" x14ac:dyDescent="0.2">
      <c r="A326" s="5" t="s">
        <v>1418</v>
      </c>
      <c r="B326" s="6" t="s">
        <v>1419</v>
      </c>
      <c r="C326" s="5" t="s">
        <v>1420</v>
      </c>
      <c r="D326" s="5" t="s">
        <v>1420</v>
      </c>
      <c r="E326" s="5" t="s">
        <v>1421</v>
      </c>
      <c r="F326" s="5" t="s">
        <v>29</v>
      </c>
      <c r="G326" s="5" t="s">
        <v>224</v>
      </c>
      <c r="H326" s="5" t="s">
        <v>23</v>
      </c>
      <c r="I326" s="5" t="str">
        <f>HYPERLINK("http://www.gitsrl.com/","www.gitsrl.com")</f>
        <v>www.gitsrl.com</v>
      </c>
      <c r="J326" s="7">
        <v>1463.6220000000001</v>
      </c>
      <c r="K326" s="7">
        <v>1463.6220000000001</v>
      </c>
      <c r="L326" s="8">
        <v>1195.4739999999999</v>
      </c>
      <c r="M326" s="7">
        <v>93.495999999999995</v>
      </c>
      <c r="N326" s="7">
        <v>93.495999999999995</v>
      </c>
      <c r="O326" s="7">
        <v>37.668999999999997</v>
      </c>
      <c r="P326" s="7">
        <v>8</v>
      </c>
      <c r="Q326" s="7">
        <v>8</v>
      </c>
      <c r="R326" s="7">
        <v>7</v>
      </c>
    </row>
    <row r="327" spans="1:18" ht="29.5" customHeight="1" x14ac:dyDescent="0.2">
      <c r="A327" s="10" t="s">
        <v>1422</v>
      </c>
      <c r="B327" s="11" t="s">
        <v>1423</v>
      </c>
      <c r="C327" s="10" t="s">
        <v>1424</v>
      </c>
      <c r="D327" s="10" t="s">
        <v>1424</v>
      </c>
      <c r="E327" s="10" t="s">
        <v>1425</v>
      </c>
      <c r="F327" s="10" t="s">
        <v>21</v>
      </c>
      <c r="G327" s="10" t="s">
        <v>176</v>
      </c>
      <c r="H327" s="10" t="s">
        <v>56</v>
      </c>
      <c r="I327" s="10" t="str">
        <f>HYPERLINK("http://www.emanuelapasseri.it/","www.emanuelapasseri.it")</f>
        <v>www.emanuelapasseri.it</v>
      </c>
      <c r="J327" s="12">
        <v>1158.557</v>
      </c>
      <c r="K327" s="12">
        <v>1158.557</v>
      </c>
      <c r="L327" s="12">
        <v>1194.7940000000001</v>
      </c>
      <c r="M327" s="12">
        <v>9.1769999999999996</v>
      </c>
      <c r="N327" s="12">
        <v>9.1769999999999996</v>
      </c>
      <c r="O327" s="12">
        <v>4.4020000000000001</v>
      </c>
      <c r="P327" s="13" t="s">
        <v>24</v>
      </c>
      <c r="Q327" s="13" t="s">
        <v>24</v>
      </c>
      <c r="R327" s="12">
        <v>16</v>
      </c>
    </row>
    <row r="328" spans="1:18" ht="17" customHeight="1" x14ac:dyDescent="0.2">
      <c r="A328" s="5" t="s">
        <v>1426</v>
      </c>
      <c r="B328" s="6" t="s">
        <v>1427</v>
      </c>
      <c r="C328" s="5" t="s">
        <v>1428</v>
      </c>
      <c r="D328" s="5" t="s">
        <v>1428</v>
      </c>
      <c r="E328" s="5" t="s">
        <v>1429</v>
      </c>
      <c r="F328" s="5" t="s">
        <v>29</v>
      </c>
      <c r="G328" s="5" t="s">
        <v>503</v>
      </c>
      <c r="H328" s="5" t="s">
        <v>62</v>
      </c>
      <c r="I328" s="5" t="str">
        <f>HYPERLINK("http://www.brouback.it/","www.brouback.it")</f>
        <v>www.brouback.it</v>
      </c>
      <c r="J328" s="7">
        <v>1673.835</v>
      </c>
      <c r="K328" s="7">
        <v>1673.835</v>
      </c>
      <c r="L328" s="8">
        <v>1194.18</v>
      </c>
      <c r="M328" s="7">
        <v>44.68</v>
      </c>
      <c r="N328" s="7">
        <v>44.68</v>
      </c>
      <c r="O328" s="7">
        <v>31.712</v>
      </c>
      <c r="P328" s="7">
        <v>7</v>
      </c>
      <c r="Q328" s="7">
        <v>7</v>
      </c>
      <c r="R328" s="7">
        <v>7</v>
      </c>
    </row>
    <row r="329" spans="1:18" ht="17" customHeight="1" x14ac:dyDescent="0.2">
      <c r="A329" s="10" t="s">
        <v>1430</v>
      </c>
      <c r="B329" s="11" t="s">
        <v>1431</v>
      </c>
      <c r="C329" s="10" t="s">
        <v>1432</v>
      </c>
      <c r="D329" s="10" t="s">
        <v>1432</v>
      </c>
      <c r="E329" s="10" t="s">
        <v>1433</v>
      </c>
      <c r="F329" s="10" t="s">
        <v>48</v>
      </c>
      <c r="G329" s="10" t="s">
        <v>190</v>
      </c>
      <c r="H329" s="10" t="s">
        <v>74</v>
      </c>
      <c r="I329" s="10" t="str">
        <f>HYPERLINK("http://marcomasi.it/","marcomasi.it")</f>
        <v>marcomasi.it</v>
      </c>
      <c r="J329" s="12">
        <v>985.63699999999994</v>
      </c>
      <c r="K329" s="12">
        <v>985.63699999999994</v>
      </c>
      <c r="L329" s="12">
        <v>1193.502</v>
      </c>
      <c r="M329" s="12">
        <v>14.686999999999999</v>
      </c>
      <c r="N329" s="12">
        <v>14.686999999999999</v>
      </c>
      <c r="O329" s="12">
        <v>10.259</v>
      </c>
      <c r="P329" s="12">
        <v>3</v>
      </c>
      <c r="Q329" s="12">
        <v>3</v>
      </c>
      <c r="R329" s="12">
        <v>5</v>
      </c>
    </row>
    <row r="330" spans="1:18" ht="17" customHeight="1" x14ac:dyDescent="0.2">
      <c r="A330" s="5" t="s">
        <v>1434</v>
      </c>
      <c r="B330" s="6" t="s">
        <v>1435</v>
      </c>
      <c r="C330" s="5" t="s">
        <v>1436</v>
      </c>
      <c r="D330" s="5" t="s">
        <v>1436</v>
      </c>
      <c r="E330" s="5" t="s">
        <v>1437</v>
      </c>
      <c r="F330" s="5" t="s">
        <v>482</v>
      </c>
      <c r="G330" s="5" t="s">
        <v>293</v>
      </c>
      <c r="H330" s="5" t="s">
        <v>74</v>
      </c>
      <c r="I330" s="5" t="str">
        <f>HYPERLINK("http://www.racingtack.it/","www.racingtack.it")</f>
        <v>www.racingtack.it</v>
      </c>
      <c r="J330" s="7">
        <v>1076.519</v>
      </c>
      <c r="K330" s="7">
        <v>1076.519</v>
      </c>
      <c r="L330" s="8">
        <v>1189.6479999999999</v>
      </c>
      <c r="M330" s="7">
        <v>76.168000000000006</v>
      </c>
      <c r="N330" s="7">
        <v>76.168000000000006</v>
      </c>
      <c r="O330" s="7">
        <v>93.457999999999998</v>
      </c>
      <c r="P330" s="7">
        <v>6</v>
      </c>
      <c r="Q330" s="7">
        <v>6</v>
      </c>
      <c r="R330" s="7">
        <v>7</v>
      </c>
    </row>
    <row r="331" spans="1:18" ht="17" customHeight="1" x14ac:dyDescent="0.2">
      <c r="A331" s="10" t="s">
        <v>1438</v>
      </c>
      <c r="B331" s="11" t="s">
        <v>1439</v>
      </c>
      <c r="C331" s="10" t="s">
        <v>1440</v>
      </c>
      <c r="D331" s="10" t="s">
        <v>1440</v>
      </c>
      <c r="E331" s="10" t="s">
        <v>1441</v>
      </c>
      <c r="F331" s="10" t="s">
        <v>21</v>
      </c>
      <c r="G331" s="10" t="s">
        <v>79</v>
      </c>
      <c r="H331" s="10" t="s">
        <v>56</v>
      </c>
      <c r="I331" s="10" t="str">
        <f>HYPERLINK("http://www.diamfondi.com/","www.diamfondi.com")</f>
        <v>www.diamfondi.com</v>
      </c>
      <c r="J331" s="12">
        <v>746.23199999999997</v>
      </c>
      <c r="K331" s="12">
        <v>746.23199999999997</v>
      </c>
      <c r="L331" s="12">
        <v>1189.0899999999999</v>
      </c>
      <c r="M331" s="12">
        <v>-38.923000000000002</v>
      </c>
      <c r="N331" s="12">
        <v>-38.923000000000002</v>
      </c>
      <c r="O331" s="12">
        <v>34.19</v>
      </c>
      <c r="P331" s="12">
        <v>7</v>
      </c>
      <c r="Q331" s="12">
        <v>7</v>
      </c>
      <c r="R331" s="12">
        <v>9</v>
      </c>
    </row>
    <row r="332" spans="1:18" ht="17" customHeight="1" x14ac:dyDescent="0.2">
      <c r="A332" s="5" t="s">
        <v>1442</v>
      </c>
      <c r="B332" s="6" t="s">
        <v>1443</v>
      </c>
      <c r="C332" s="5" t="s">
        <v>1444</v>
      </c>
      <c r="D332" s="5" t="s">
        <v>1444</v>
      </c>
      <c r="E332" s="5" t="s">
        <v>1445</v>
      </c>
      <c r="F332" s="5" t="s">
        <v>41</v>
      </c>
      <c r="G332" s="5" t="s">
        <v>42</v>
      </c>
      <c r="H332" s="5" t="s">
        <v>43</v>
      </c>
      <c r="I332" s="5" t="str">
        <f>HYPERLINK("http://www.peleritalia.com/","www.peleritalia.com")</f>
        <v>www.peleritalia.com</v>
      </c>
      <c r="J332" s="7">
        <v>988.99199999999996</v>
      </c>
      <c r="K332" s="7">
        <v>988.99199999999996</v>
      </c>
      <c r="L332" s="8">
        <v>1189.0329999999999</v>
      </c>
      <c r="M332" s="7">
        <v>10.313000000000001</v>
      </c>
      <c r="N332" s="7">
        <v>10.313000000000001</v>
      </c>
      <c r="O332" s="7">
        <v>2.4319999999999999</v>
      </c>
      <c r="P332" s="7">
        <v>2</v>
      </c>
      <c r="Q332" s="7">
        <v>2</v>
      </c>
      <c r="R332" s="7">
        <v>3</v>
      </c>
    </row>
    <row r="333" spans="1:18" ht="17" customHeight="1" x14ac:dyDescent="0.2">
      <c r="A333" s="10" t="s">
        <v>1446</v>
      </c>
      <c r="B333" s="11" t="s">
        <v>1447</v>
      </c>
      <c r="C333" s="10" t="s">
        <v>1448</v>
      </c>
      <c r="D333" s="10" t="s">
        <v>1448</v>
      </c>
      <c r="E333" s="10" t="s">
        <v>1449</v>
      </c>
      <c r="F333" s="10" t="s">
        <v>29</v>
      </c>
      <c r="G333" s="10" t="s">
        <v>49</v>
      </c>
      <c r="H333" s="10" t="s">
        <v>23</v>
      </c>
      <c r="I333" s="10" t="str">
        <f>HYPERLINK("http://www.westar.it/","www.westar.it")</f>
        <v>www.westar.it</v>
      </c>
      <c r="J333" s="12">
        <v>923.279</v>
      </c>
      <c r="K333" s="12">
        <v>923.279</v>
      </c>
      <c r="L333" s="12">
        <v>1187.7280000000001</v>
      </c>
      <c r="M333" s="12">
        <v>6.2469999999999999</v>
      </c>
      <c r="N333" s="12">
        <v>6.2469999999999999</v>
      </c>
      <c r="O333" s="12">
        <v>6.66</v>
      </c>
      <c r="P333" s="12">
        <v>6</v>
      </c>
      <c r="Q333" s="12">
        <v>6</v>
      </c>
      <c r="R333" s="12">
        <v>6</v>
      </c>
    </row>
    <row r="334" spans="1:18" ht="17" customHeight="1" x14ac:dyDescent="0.2">
      <c r="A334" s="5" t="s">
        <v>1450</v>
      </c>
      <c r="B334" s="6" t="s">
        <v>1451</v>
      </c>
      <c r="C334" s="5" t="s">
        <v>1452</v>
      </c>
      <c r="D334" s="5" t="s">
        <v>1452</v>
      </c>
      <c r="E334" s="5" t="s">
        <v>1453</v>
      </c>
      <c r="F334" s="5" t="s">
        <v>149</v>
      </c>
      <c r="G334" s="5" t="s">
        <v>94</v>
      </c>
      <c r="H334" s="5" t="s">
        <v>62</v>
      </c>
      <c r="I334" s="5" t="str">
        <f>HYPERLINK("http://enjoywear.it/","enjoywear.it")</f>
        <v>enjoywear.it</v>
      </c>
      <c r="J334" s="7">
        <v>1691.096</v>
      </c>
      <c r="K334" s="7">
        <v>1691.096</v>
      </c>
      <c r="L334" s="8">
        <v>1186.78</v>
      </c>
      <c r="M334" s="7">
        <v>11.018000000000001</v>
      </c>
      <c r="N334" s="7">
        <v>11.018000000000001</v>
      </c>
      <c r="O334" s="7">
        <v>18.335000000000001</v>
      </c>
      <c r="P334" s="7">
        <v>11</v>
      </c>
      <c r="Q334" s="7">
        <v>11</v>
      </c>
      <c r="R334" s="7">
        <v>11</v>
      </c>
    </row>
    <row r="335" spans="1:18" ht="29.5" customHeight="1" x14ac:dyDescent="0.2">
      <c r="A335" s="10" t="s">
        <v>1454</v>
      </c>
      <c r="B335" s="11" t="s">
        <v>1455</v>
      </c>
      <c r="C335" s="10" t="s">
        <v>1456</v>
      </c>
      <c r="D335" s="10" t="s">
        <v>1456</v>
      </c>
      <c r="E335" s="10" t="s">
        <v>1457</v>
      </c>
      <c r="F335" s="10" t="s">
        <v>376</v>
      </c>
      <c r="G335" s="10" t="s">
        <v>115</v>
      </c>
      <c r="H335" s="10" t="s">
        <v>43</v>
      </c>
      <c r="I335" s="10" t="str">
        <f>HYPERLINK("http://www.laudinocaccin.it/","www.laudinocaccin.it")</f>
        <v>www.laudinocaccin.it</v>
      </c>
      <c r="J335" s="12">
        <v>814.74599999999998</v>
      </c>
      <c r="K335" s="12">
        <v>814.74599999999998</v>
      </c>
      <c r="L335" s="12">
        <v>1185.2619999999999</v>
      </c>
      <c r="M335" s="12">
        <v>-57.043999999999997</v>
      </c>
      <c r="N335" s="12">
        <v>-57.043999999999997</v>
      </c>
      <c r="O335" s="12">
        <v>11.627000000000001</v>
      </c>
      <c r="P335" s="13" t="s">
        <v>24</v>
      </c>
      <c r="Q335" s="13" t="s">
        <v>24</v>
      </c>
      <c r="R335" s="12">
        <v>11</v>
      </c>
    </row>
    <row r="336" spans="1:18" ht="17" customHeight="1" x14ac:dyDescent="0.2">
      <c r="A336" s="5" t="s">
        <v>1458</v>
      </c>
      <c r="B336" s="6" t="s">
        <v>1459</v>
      </c>
      <c r="C336" s="5" t="s">
        <v>1460</v>
      </c>
      <c r="D336" s="5" t="s">
        <v>1460</v>
      </c>
      <c r="E336" s="5" t="s">
        <v>1461</v>
      </c>
      <c r="F336" s="5" t="s">
        <v>181</v>
      </c>
      <c r="G336" s="5" t="s">
        <v>843</v>
      </c>
      <c r="H336" s="5" t="s">
        <v>299</v>
      </c>
      <c r="I336" s="5" t="str">
        <f>HYPERLINK("http://maxmaglierie.it/","maxmaglierie.it")</f>
        <v>maxmaglierie.it</v>
      </c>
      <c r="J336" s="7">
        <v>1008.426</v>
      </c>
      <c r="K336" s="7">
        <v>1008.426</v>
      </c>
      <c r="L336" s="8">
        <v>1184.7809999999999</v>
      </c>
      <c r="M336" s="7">
        <v>1.706</v>
      </c>
      <c r="N336" s="7">
        <v>1.706</v>
      </c>
      <c r="O336" s="7">
        <v>3.0230000000000001</v>
      </c>
      <c r="P336" s="7">
        <v>3</v>
      </c>
      <c r="Q336" s="7">
        <v>3</v>
      </c>
      <c r="R336" s="7">
        <v>3</v>
      </c>
    </row>
    <row r="337" spans="1:18" ht="17" customHeight="1" x14ac:dyDescent="0.2">
      <c r="A337" s="10" t="s">
        <v>1462</v>
      </c>
      <c r="B337" s="11" t="s">
        <v>1463</v>
      </c>
      <c r="C337" s="10" t="s">
        <v>1464</v>
      </c>
      <c r="D337" s="10" t="s">
        <v>1464</v>
      </c>
      <c r="E337" s="10" t="s">
        <v>1465</v>
      </c>
      <c r="F337" s="10" t="s">
        <v>41</v>
      </c>
      <c r="G337" s="10" t="s">
        <v>1210</v>
      </c>
      <c r="H337" s="10" t="s">
        <v>1132</v>
      </c>
      <c r="I337" s="10" t="str">
        <f>HYPERLINK("http://www.startupgroupsrls.it/","www.startupgroupsrls.it")</f>
        <v>www.startupgroupsrls.it</v>
      </c>
      <c r="J337" s="12">
        <v>1130.7539999999999</v>
      </c>
      <c r="K337" s="12">
        <v>1130.7539999999999</v>
      </c>
      <c r="L337" s="12">
        <v>1180.366</v>
      </c>
      <c r="M337" s="12">
        <v>27.893000000000001</v>
      </c>
      <c r="N337" s="12">
        <v>27.893000000000001</v>
      </c>
      <c r="O337" s="12">
        <v>22.135999999999999</v>
      </c>
      <c r="P337" s="13" t="s">
        <v>24</v>
      </c>
      <c r="Q337" s="13" t="s">
        <v>24</v>
      </c>
      <c r="R337" s="12">
        <v>2</v>
      </c>
    </row>
    <row r="338" spans="1:18" ht="17" customHeight="1" x14ac:dyDescent="0.2">
      <c r="A338" s="5" t="s">
        <v>1466</v>
      </c>
      <c r="B338" s="6" t="s">
        <v>1467</v>
      </c>
      <c r="C338" s="5" t="s">
        <v>1468</v>
      </c>
      <c r="D338" s="5" t="s">
        <v>1468</v>
      </c>
      <c r="E338" s="5" t="s">
        <v>1469</v>
      </c>
      <c r="F338" s="5" t="s">
        <v>114</v>
      </c>
      <c r="G338" s="5" t="s">
        <v>381</v>
      </c>
      <c r="H338" s="5" t="s">
        <v>23</v>
      </c>
      <c r="I338" s="5" t="str">
        <f>HYPERLINK("http://www.confezionibilo.com/","www.confezionibilo.com")</f>
        <v>www.confezionibilo.com</v>
      </c>
      <c r="J338" s="7">
        <v>1776.9269999999999</v>
      </c>
      <c r="K338" s="7">
        <v>1776.9269999999999</v>
      </c>
      <c r="L338" s="8">
        <v>1179.8499999999999</v>
      </c>
      <c r="M338" s="7">
        <v>165.834</v>
      </c>
      <c r="N338" s="7">
        <v>165.834</v>
      </c>
      <c r="O338" s="7">
        <v>89.62</v>
      </c>
      <c r="P338" s="9" t="s">
        <v>24</v>
      </c>
      <c r="Q338" s="9" t="s">
        <v>24</v>
      </c>
      <c r="R338" s="7">
        <v>16</v>
      </c>
    </row>
    <row r="339" spans="1:18" ht="29.5" customHeight="1" x14ac:dyDescent="0.2">
      <c r="A339" s="10" t="s">
        <v>1470</v>
      </c>
      <c r="B339" s="11" t="s">
        <v>1471</v>
      </c>
      <c r="C339" s="10" t="s">
        <v>1472</v>
      </c>
      <c r="D339" s="10" t="s">
        <v>1473</v>
      </c>
      <c r="E339" s="10" t="s">
        <v>1474</v>
      </c>
      <c r="F339" s="10" t="s">
        <v>72</v>
      </c>
      <c r="G339" s="10" t="s">
        <v>293</v>
      </c>
      <c r="H339" s="10" t="s">
        <v>74</v>
      </c>
      <c r="I339" s="10" t="str">
        <f>HYPERLINK("http://www.sensiline-shop.it/","www.sensiline-shop.it")</f>
        <v>www.sensiline-shop.it</v>
      </c>
      <c r="J339" s="12">
        <v>1089.0319999999999</v>
      </c>
      <c r="K339" s="12">
        <v>1089.0319999999999</v>
      </c>
      <c r="L339" s="12">
        <v>1178.1669999999999</v>
      </c>
      <c r="M339" s="12">
        <v>-239.86099999999999</v>
      </c>
      <c r="N339" s="12">
        <v>-239.86099999999999</v>
      </c>
      <c r="O339" s="12">
        <v>-52.753</v>
      </c>
      <c r="P339" s="12">
        <v>10</v>
      </c>
      <c r="Q339" s="12">
        <v>10</v>
      </c>
      <c r="R339" s="12">
        <v>15</v>
      </c>
    </row>
    <row r="340" spans="1:18" ht="17" customHeight="1" x14ac:dyDescent="0.2">
      <c r="A340" s="5" t="s">
        <v>1475</v>
      </c>
      <c r="B340" s="6" t="s">
        <v>1476</v>
      </c>
      <c r="C340" s="5" t="s">
        <v>1477</v>
      </c>
      <c r="D340" s="5" t="s">
        <v>1477</v>
      </c>
      <c r="E340" s="5" t="s">
        <v>1478</v>
      </c>
      <c r="F340" s="5" t="s">
        <v>252</v>
      </c>
      <c r="G340" s="5" t="s">
        <v>224</v>
      </c>
      <c r="H340" s="5" t="s">
        <v>23</v>
      </c>
      <c r="I340" s="5" t="str">
        <f>HYPERLINK("http://www.magnanisposa.it/","www.magnanisposa.it")</f>
        <v>www.magnanisposa.it</v>
      </c>
      <c r="J340" s="7">
        <v>1247.894</v>
      </c>
      <c r="K340" s="7">
        <v>1247.894</v>
      </c>
      <c r="L340" s="8">
        <v>1177.5340000000001</v>
      </c>
      <c r="M340" s="7">
        <v>51.625999999999998</v>
      </c>
      <c r="N340" s="7">
        <v>51.625999999999998</v>
      </c>
      <c r="O340" s="7">
        <v>-75.260999999999996</v>
      </c>
      <c r="P340" s="7">
        <v>15</v>
      </c>
      <c r="Q340" s="7">
        <v>15</v>
      </c>
      <c r="R340" s="7">
        <v>13</v>
      </c>
    </row>
    <row r="341" spans="1:18" ht="17" customHeight="1" x14ac:dyDescent="0.2">
      <c r="A341" s="10" t="s">
        <v>1479</v>
      </c>
      <c r="B341" s="11" t="s">
        <v>1480</v>
      </c>
      <c r="C341" s="10" t="s">
        <v>1481</v>
      </c>
      <c r="D341" s="10" t="s">
        <v>1481</v>
      </c>
      <c r="E341" s="10" t="s">
        <v>1482</v>
      </c>
      <c r="F341" s="10" t="s">
        <v>105</v>
      </c>
      <c r="G341" s="10" t="s">
        <v>67</v>
      </c>
      <c r="H341" s="10" t="s">
        <v>43</v>
      </c>
      <c r="I341" s="10" t="str">
        <f>HYPERLINK("http://www.antoninovalenti.com/","www.antoninovalenti.com")</f>
        <v>www.antoninovalenti.com</v>
      </c>
      <c r="J341" s="12">
        <v>1117.71</v>
      </c>
      <c r="K341" s="12">
        <v>1117.71</v>
      </c>
      <c r="L341" s="12">
        <v>1174.991</v>
      </c>
      <c r="M341" s="12">
        <v>-29.2</v>
      </c>
      <c r="N341" s="12">
        <v>-29.2</v>
      </c>
      <c r="O341" s="12">
        <v>34.226999999999997</v>
      </c>
      <c r="P341" s="12">
        <v>7</v>
      </c>
      <c r="Q341" s="12">
        <v>7</v>
      </c>
      <c r="R341" s="12">
        <v>7</v>
      </c>
    </row>
    <row r="342" spans="1:18" ht="17" customHeight="1" x14ac:dyDescent="0.2">
      <c r="A342" s="5" t="s">
        <v>1483</v>
      </c>
      <c r="B342" s="6" t="s">
        <v>1484</v>
      </c>
      <c r="C342" s="5" t="s">
        <v>1485</v>
      </c>
      <c r="D342" s="5" t="s">
        <v>1485</v>
      </c>
      <c r="E342" s="5" t="s">
        <v>1486</v>
      </c>
      <c r="F342" s="5" t="s">
        <v>41</v>
      </c>
      <c r="G342" s="5" t="s">
        <v>224</v>
      </c>
      <c r="H342" s="5" t="s">
        <v>23</v>
      </c>
      <c r="I342" s="5" t="str">
        <f>HYPERLINK("http://www.ghizzanpelli.com/","www.ghizzanpelli.com")</f>
        <v>www.ghizzanpelli.com</v>
      </c>
      <c r="J342" s="7">
        <v>1200.8589999999999</v>
      </c>
      <c r="K342" s="7">
        <v>1200.8589999999999</v>
      </c>
      <c r="L342" s="8">
        <v>1172.68</v>
      </c>
      <c r="M342" s="7">
        <v>295.79500000000002</v>
      </c>
      <c r="N342" s="7">
        <v>295.79500000000002</v>
      </c>
      <c r="O342" s="7">
        <v>329.72699999999998</v>
      </c>
      <c r="P342" s="7">
        <v>5</v>
      </c>
      <c r="Q342" s="7">
        <v>5</v>
      </c>
      <c r="R342" s="7">
        <v>5</v>
      </c>
    </row>
    <row r="343" spans="1:18" ht="17" customHeight="1" x14ac:dyDescent="0.2">
      <c r="A343" s="10" t="s">
        <v>1487</v>
      </c>
      <c r="B343" s="11" t="s">
        <v>1488</v>
      </c>
      <c r="C343" s="10" t="s">
        <v>1489</v>
      </c>
      <c r="D343" s="10" t="s">
        <v>1489</v>
      </c>
      <c r="E343" s="10" t="s">
        <v>1490</v>
      </c>
      <c r="F343" s="10" t="s">
        <v>114</v>
      </c>
      <c r="G343" s="10" t="s">
        <v>293</v>
      </c>
      <c r="H343" s="10" t="s">
        <v>74</v>
      </c>
      <c r="I343" s="10" t="str">
        <f>HYPERLINK("http://en.askforamask.it/","en.askforamask.it")</f>
        <v>en.askforamask.it</v>
      </c>
      <c r="J343" s="12">
        <v>881.31200000000001</v>
      </c>
      <c r="K343" s="12">
        <v>881.31200000000001</v>
      </c>
      <c r="L343" s="12">
        <v>1172.077</v>
      </c>
      <c r="M343" s="12">
        <v>9.39</v>
      </c>
      <c r="N343" s="12">
        <v>9.39</v>
      </c>
      <c r="O343" s="12">
        <v>0.18099999999999999</v>
      </c>
      <c r="P343" s="13" t="s">
        <v>24</v>
      </c>
      <c r="Q343" s="13" t="s">
        <v>24</v>
      </c>
      <c r="R343" s="12">
        <v>5</v>
      </c>
    </row>
    <row r="344" spans="1:18" ht="17" customHeight="1" x14ac:dyDescent="0.2">
      <c r="A344" s="5" t="s">
        <v>1491</v>
      </c>
      <c r="B344" s="6" t="s">
        <v>1492</v>
      </c>
      <c r="C344" s="5" t="s">
        <v>1493</v>
      </c>
      <c r="D344" s="5" t="s">
        <v>1493</v>
      </c>
      <c r="E344" s="5" t="s">
        <v>1494</v>
      </c>
      <c r="F344" s="5" t="s">
        <v>72</v>
      </c>
      <c r="G344" s="5" t="s">
        <v>73</v>
      </c>
      <c r="H344" s="5" t="s">
        <v>74</v>
      </c>
      <c r="I344" s="5" t="str">
        <f>HYPERLINK("http://calzekinesia.it/","calzekinesia.it")</f>
        <v>calzekinesia.it</v>
      </c>
      <c r="J344" s="7">
        <v>722.63499999999999</v>
      </c>
      <c r="K344" s="7">
        <v>722.63499999999999</v>
      </c>
      <c r="L344" s="8">
        <v>1170.9290000000001</v>
      </c>
      <c r="M344" s="7">
        <v>-506.27199999999999</v>
      </c>
      <c r="N344" s="7">
        <v>-506.27199999999999</v>
      </c>
      <c r="O344" s="7">
        <v>11.708</v>
      </c>
      <c r="P344" s="7">
        <v>11</v>
      </c>
      <c r="Q344" s="7">
        <v>11</v>
      </c>
      <c r="R344" s="7">
        <v>13</v>
      </c>
    </row>
    <row r="345" spans="1:18" ht="17" customHeight="1" x14ac:dyDescent="0.2">
      <c r="A345" s="10" t="s">
        <v>1495</v>
      </c>
      <c r="B345" s="11" t="s">
        <v>1496</v>
      </c>
      <c r="C345" s="10" t="s">
        <v>1497</v>
      </c>
      <c r="D345" s="10" t="s">
        <v>1497</v>
      </c>
      <c r="E345" s="10" t="s">
        <v>1498</v>
      </c>
      <c r="F345" s="10" t="s">
        <v>105</v>
      </c>
      <c r="G345" s="10" t="s">
        <v>293</v>
      </c>
      <c r="H345" s="10" t="s">
        <v>74</v>
      </c>
      <c r="I345" s="10" t="str">
        <f>HYPERLINK("http://www.tessilcompanysrl.it/","www.tessilcompanysrl.it")</f>
        <v>www.tessilcompanysrl.it</v>
      </c>
      <c r="J345" s="12">
        <v>1207.683</v>
      </c>
      <c r="K345" s="12">
        <v>1207.683</v>
      </c>
      <c r="L345" s="12">
        <v>1170.1590000000001</v>
      </c>
      <c r="M345" s="12">
        <v>-197.625</v>
      </c>
      <c r="N345" s="12">
        <v>-197.625</v>
      </c>
      <c r="O345" s="12">
        <v>-19.038</v>
      </c>
      <c r="P345" s="12">
        <v>6</v>
      </c>
      <c r="Q345" s="12">
        <v>6</v>
      </c>
      <c r="R345" s="12">
        <v>7</v>
      </c>
    </row>
    <row r="346" spans="1:18" ht="17" customHeight="1" x14ac:dyDescent="0.2">
      <c r="A346" s="5" t="s">
        <v>1499</v>
      </c>
      <c r="B346" s="6" t="s">
        <v>1500</v>
      </c>
      <c r="C346" s="5" t="s">
        <v>1501</v>
      </c>
      <c r="D346" s="5" t="s">
        <v>1501</v>
      </c>
      <c r="E346" s="5" t="s">
        <v>1502</v>
      </c>
      <c r="F346" s="5" t="s">
        <v>21</v>
      </c>
      <c r="G346" s="5" t="s">
        <v>79</v>
      </c>
      <c r="H346" s="5" t="s">
        <v>56</v>
      </c>
      <c r="I346" s="5" t="str">
        <f>HYPERLINK("http://www.calzaturificiocaf.it/","www.calzaturificiocaf.it")</f>
        <v>www.calzaturificiocaf.it</v>
      </c>
      <c r="J346" s="7">
        <v>1122.8689999999999</v>
      </c>
      <c r="K346" s="7">
        <v>1122.8689999999999</v>
      </c>
      <c r="L346" s="8">
        <v>1170.222</v>
      </c>
      <c r="M346" s="7">
        <v>1.4039999999999999</v>
      </c>
      <c r="N346" s="7">
        <v>1.4039999999999999</v>
      </c>
      <c r="O346" s="7">
        <v>21.59</v>
      </c>
      <c r="P346" s="7">
        <v>5</v>
      </c>
      <c r="Q346" s="7">
        <v>5</v>
      </c>
      <c r="R346" s="7">
        <v>3</v>
      </c>
    </row>
    <row r="347" spans="1:18" ht="29.5" customHeight="1" x14ac:dyDescent="0.2">
      <c r="A347" s="10" t="s">
        <v>1503</v>
      </c>
      <c r="B347" s="11" t="s">
        <v>1504</v>
      </c>
      <c r="C347" s="10" t="s">
        <v>1505</v>
      </c>
      <c r="D347" s="10" t="s">
        <v>1505</v>
      </c>
      <c r="E347" s="10" t="s">
        <v>1506</v>
      </c>
      <c r="F347" s="10" t="s">
        <v>105</v>
      </c>
      <c r="G347" s="10" t="s">
        <v>190</v>
      </c>
      <c r="H347" s="10" t="s">
        <v>74</v>
      </c>
      <c r="I347" s="10" t="str">
        <f>HYPERLINK("http://bigicravatte.it/","bigicravatte.it")</f>
        <v>bigicravatte.it</v>
      </c>
      <c r="J347" s="12">
        <v>1388.9760000000001</v>
      </c>
      <c r="K347" s="12">
        <v>1388.9760000000001</v>
      </c>
      <c r="L347" s="12">
        <v>1167.778</v>
      </c>
      <c r="M347" s="12">
        <v>-19.648</v>
      </c>
      <c r="N347" s="12">
        <v>-19.648</v>
      </c>
      <c r="O347" s="12">
        <v>-19.605</v>
      </c>
      <c r="P347" s="12">
        <v>22</v>
      </c>
      <c r="Q347" s="12">
        <v>22</v>
      </c>
      <c r="R347" s="12">
        <v>13</v>
      </c>
    </row>
    <row r="348" spans="1:18" ht="17" customHeight="1" x14ac:dyDescent="0.2">
      <c r="A348" s="5" t="s">
        <v>1507</v>
      </c>
      <c r="B348" s="6" t="s">
        <v>1508</v>
      </c>
      <c r="C348" s="5" t="s">
        <v>1509</v>
      </c>
      <c r="D348" s="5" t="s">
        <v>1509</v>
      </c>
      <c r="E348" s="5" t="s">
        <v>1510</v>
      </c>
      <c r="F348" s="5" t="s">
        <v>114</v>
      </c>
      <c r="G348" s="5" t="s">
        <v>229</v>
      </c>
      <c r="H348" s="5" t="s">
        <v>31</v>
      </c>
      <c r="I348" s="5" t="str">
        <f>HYPERLINK("http://www.modicollezione.com/","www.modicollezione.com")</f>
        <v>www.modicollezione.com</v>
      </c>
      <c r="J348" s="7">
        <v>1255.5319999999999</v>
      </c>
      <c r="K348" s="7">
        <v>1255.5319999999999</v>
      </c>
      <c r="L348" s="8">
        <v>1167.3979999999999</v>
      </c>
      <c r="M348" s="7">
        <v>64.096999999999994</v>
      </c>
      <c r="N348" s="7">
        <v>64.096999999999994</v>
      </c>
      <c r="O348" s="7">
        <v>31.74</v>
      </c>
      <c r="P348" s="7">
        <v>12</v>
      </c>
      <c r="Q348" s="7">
        <v>12</v>
      </c>
      <c r="R348" s="7">
        <v>12</v>
      </c>
    </row>
    <row r="349" spans="1:18" ht="17" customHeight="1" x14ac:dyDescent="0.2">
      <c r="A349" s="10" t="s">
        <v>1511</v>
      </c>
      <c r="B349" s="11" t="s">
        <v>1512</v>
      </c>
      <c r="C349" s="10" t="s">
        <v>1513</v>
      </c>
      <c r="D349" s="10" t="s">
        <v>1514</v>
      </c>
      <c r="E349" s="10" t="s">
        <v>1515</v>
      </c>
      <c r="F349" s="10" t="s">
        <v>181</v>
      </c>
      <c r="G349" s="10" t="s">
        <v>234</v>
      </c>
      <c r="H349" s="10" t="s">
        <v>23</v>
      </c>
      <c r="I349" s="10" t="str">
        <f>HYPERLINK("http://www.prontomodamachattie.it/","www.prontomodamachattie.it")</f>
        <v>www.prontomodamachattie.it</v>
      </c>
      <c r="J349" s="12">
        <v>1195.556</v>
      </c>
      <c r="K349" s="12">
        <v>1195.556</v>
      </c>
      <c r="L349" s="12">
        <v>1166.674</v>
      </c>
      <c r="M349" s="12">
        <v>-2.2919999999999998</v>
      </c>
      <c r="N349" s="12">
        <v>-2.2919999999999998</v>
      </c>
      <c r="O349" s="12">
        <v>10.505000000000001</v>
      </c>
      <c r="P349" s="12">
        <v>7</v>
      </c>
      <c r="Q349" s="12">
        <v>7</v>
      </c>
      <c r="R349" s="12">
        <v>6</v>
      </c>
    </row>
    <row r="350" spans="1:18" ht="17" customHeight="1" x14ac:dyDescent="0.2">
      <c r="A350" s="5" t="s">
        <v>1516</v>
      </c>
      <c r="B350" s="6" t="s">
        <v>1517</v>
      </c>
      <c r="C350" s="5" t="s">
        <v>1518</v>
      </c>
      <c r="D350" s="5" t="s">
        <v>1518</v>
      </c>
      <c r="E350" s="5" t="s">
        <v>1519</v>
      </c>
      <c r="F350" s="5" t="s">
        <v>29</v>
      </c>
      <c r="G350" s="5" t="s">
        <v>1013</v>
      </c>
      <c r="H350" s="5" t="s">
        <v>43</v>
      </c>
      <c r="I350" s="5" t="str">
        <f>HYPERLINK("http://www.ivishock.it/","www.ivishock.it")</f>
        <v>www.ivishock.it</v>
      </c>
      <c r="J350" s="7">
        <v>1101.472</v>
      </c>
      <c r="K350" s="7">
        <v>1101.472</v>
      </c>
      <c r="L350" s="8">
        <v>1165.623</v>
      </c>
      <c r="M350" s="7">
        <v>2.302</v>
      </c>
      <c r="N350" s="7">
        <v>2.302</v>
      </c>
      <c r="O350" s="7">
        <v>1.72</v>
      </c>
      <c r="P350" s="7">
        <v>5</v>
      </c>
      <c r="Q350" s="7">
        <v>5</v>
      </c>
      <c r="R350" s="7">
        <v>4</v>
      </c>
    </row>
    <row r="351" spans="1:18" ht="17" customHeight="1" x14ac:dyDescent="0.2">
      <c r="A351" s="10" t="s">
        <v>1520</v>
      </c>
      <c r="B351" s="11" t="s">
        <v>1521</v>
      </c>
      <c r="C351" s="10" t="s">
        <v>1522</v>
      </c>
      <c r="D351" s="10" t="s">
        <v>1522</v>
      </c>
      <c r="E351" s="10" t="s">
        <v>1523</v>
      </c>
      <c r="F351" s="10" t="s">
        <v>48</v>
      </c>
      <c r="G351" s="10" t="s">
        <v>100</v>
      </c>
      <c r="H351" s="10" t="s">
        <v>62</v>
      </c>
      <c r="I351" s="10" t="str">
        <f>HYPERLINK("http://www.barattolorappresentanze.it/","www.barattolorappresentanze.it")</f>
        <v>www.barattolorappresentanze.it</v>
      </c>
      <c r="J351" s="12">
        <v>936.08699999999999</v>
      </c>
      <c r="K351" s="12">
        <v>936.08699999999999</v>
      </c>
      <c r="L351" s="12">
        <v>1164.0139999999999</v>
      </c>
      <c r="M351" s="12">
        <v>-142.99100000000001</v>
      </c>
      <c r="N351" s="12">
        <v>-142.99100000000001</v>
      </c>
      <c r="O351" s="12">
        <v>44.533000000000001</v>
      </c>
      <c r="P351" s="13" t="s">
        <v>24</v>
      </c>
      <c r="Q351" s="13" t="s">
        <v>24</v>
      </c>
      <c r="R351" s="12">
        <v>24</v>
      </c>
    </row>
    <row r="352" spans="1:18" ht="17" customHeight="1" x14ac:dyDescent="0.2">
      <c r="A352" s="5" t="s">
        <v>1524</v>
      </c>
      <c r="B352" s="6" t="s">
        <v>1525</v>
      </c>
      <c r="C352" s="5" t="s">
        <v>1526</v>
      </c>
      <c r="D352" s="5" t="s">
        <v>1526</v>
      </c>
      <c r="E352" s="5" t="s">
        <v>1527</v>
      </c>
      <c r="F352" s="5" t="s">
        <v>181</v>
      </c>
      <c r="G352" s="5" t="s">
        <v>140</v>
      </c>
      <c r="H352" s="5" t="s">
        <v>43</v>
      </c>
      <c r="I352" s="5" t="str">
        <f>HYPERLINK("http://www.alma-knit.it/","www.alma-knit.it")</f>
        <v>www.alma-knit.it</v>
      </c>
      <c r="J352" s="7">
        <v>1424.568</v>
      </c>
      <c r="K352" s="7">
        <v>1424.568</v>
      </c>
      <c r="L352" s="8">
        <v>1163.9490000000001</v>
      </c>
      <c r="M352" s="7">
        <v>40.575000000000003</v>
      </c>
      <c r="N352" s="7">
        <v>40.575000000000003</v>
      </c>
      <c r="O352" s="7">
        <v>50.100999999999999</v>
      </c>
      <c r="P352" s="7">
        <v>16</v>
      </c>
      <c r="Q352" s="7">
        <v>16</v>
      </c>
      <c r="R352" s="7">
        <v>16</v>
      </c>
    </row>
    <row r="353" spans="1:18" ht="17" customHeight="1" x14ac:dyDescent="0.2">
      <c r="A353" s="10" t="s">
        <v>1528</v>
      </c>
      <c r="B353" s="11" t="s">
        <v>1529</v>
      </c>
      <c r="C353" s="10" t="s">
        <v>1530</v>
      </c>
      <c r="D353" s="10" t="s">
        <v>1530</v>
      </c>
      <c r="E353" s="10" t="s">
        <v>1531</v>
      </c>
      <c r="F353" s="10" t="s">
        <v>72</v>
      </c>
      <c r="G353" s="10" t="s">
        <v>73</v>
      </c>
      <c r="H353" s="10" t="s">
        <v>74</v>
      </c>
      <c r="I353" s="10" t="str">
        <f>HYPERLINK("http://www.calzesportivedany.it/","www.calzesportivedany.it")</f>
        <v>www.calzesportivedany.it</v>
      </c>
      <c r="J353" s="12">
        <v>1045.1369999999999</v>
      </c>
      <c r="K353" s="12">
        <v>1045.1369999999999</v>
      </c>
      <c r="L353" s="12">
        <v>1163.876</v>
      </c>
      <c r="M353" s="12">
        <v>29.844999999999999</v>
      </c>
      <c r="N353" s="12">
        <v>29.844999999999999</v>
      </c>
      <c r="O353" s="12">
        <v>59.75</v>
      </c>
      <c r="P353" s="12">
        <v>11</v>
      </c>
      <c r="Q353" s="12">
        <v>11</v>
      </c>
      <c r="R353" s="12">
        <v>10</v>
      </c>
    </row>
    <row r="354" spans="1:18" ht="17" customHeight="1" x14ac:dyDescent="0.2">
      <c r="A354" s="5" t="s">
        <v>1532</v>
      </c>
      <c r="B354" s="6" t="s">
        <v>1533</v>
      </c>
      <c r="C354" s="5" t="s">
        <v>1534</v>
      </c>
      <c r="D354" s="5" t="s">
        <v>1534</v>
      </c>
      <c r="E354" s="5" t="s">
        <v>1535</v>
      </c>
      <c r="F354" s="5" t="s">
        <v>134</v>
      </c>
      <c r="G354" s="5" t="s">
        <v>73</v>
      </c>
      <c r="H354" s="5" t="s">
        <v>74</v>
      </c>
      <c r="I354" s="5" t="str">
        <f>HYPERLINK("http://floresinex.com/","floresinex.com")</f>
        <v>floresinex.com</v>
      </c>
      <c r="J354" s="7">
        <v>1304.2439999999999</v>
      </c>
      <c r="K354" s="7">
        <v>1304.2439999999999</v>
      </c>
      <c r="L354" s="8">
        <v>1162.3230000000001</v>
      </c>
      <c r="M354" s="7">
        <v>249.47499999999999</v>
      </c>
      <c r="N354" s="7">
        <v>249.47499999999999</v>
      </c>
      <c r="O354" s="7">
        <v>103.494</v>
      </c>
      <c r="P354" s="9" t="s">
        <v>24</v>
      </c>
      <c r="Q354" s="9" t="s">
        <v>24</v>
      </c>
      <c r="R354" s="7">
        <v>8</v>
      </c>
    </row>
    <row r="355" spans="1:18" ht="17" customHeight="1" x14ac:dyDescent="0.2">
      <c r="A355" s="10" t="s">
        <v>1536</v>
      </c>
      <c r="B355" s="11" t="s">
        <v>1537</v>
      </c>
      <c r="C355" s="10" t="s">
        <v>1538</v>
      </c>
      <c r="D355" s="10" t="s">
        <v>1538</v>
      </c>
      <c r="E355" s="10" t="s">
        <v>1539</v>
      </c>
      <c r="F355" s="10" t="s">
        <v>29</v>
      </c>
      <c r="G355" s="10" t="s">
        <v>293</v>
      </c>
      <c r="H355" s="10" t="s">
        <v>74</v>
      </c>
      <c r="I355" s="10" t="str">
        <f>HYPERLINK("http://www.mabiline.com/","www.mabiline.com")</f>
        <v>www.mabiline.com</v>
      </c>
      <c r="J355" s="12">
        <v>1164.346</v>
      </c>
      <c r="K355" s="12">
        <v>1164.346</v>
      </c>
      <c r="L355" s="12">
        <v>1160.596</v>
      </c>
      <c r="M355" s="12">
        <v>2.6059999999999999</v>
      </c>
      <c r="N355" s="12">
        <v>2.6059999999999999</v>
      </c>
      <c r="O355" s="12">
        <v>1.087</v>
      </c>
      <c r="P355" s="13" t="s">
        <v>24</v>
      </c>
      <c r="Q355" s="13" t="s">
        <v>24</v>
      </c>
      <c r="R355" s="12">
        <v>10</v>
      </c>
    </row>
    <row r="356" spans="1:18" ht="17" customHeight="1" x14ac:dyDescent="0.2">
      <c r="A356" s="5" t="s">
        <v>1540</v>
      </c>
      <c r="B356" s="6" t="s">
        <v>1541</v>
      </c>
      <c r="C356" s="5" t="s">
        <v>1542</v>
      </c>
      <c r="D356" s="5" t="s">
        <v>1542</v>
      </c>
      <c r="E356" s="5" t="s">
        <v>1543</v>
      </c>
      <c r="F356" s="5" t="s">
        <v>114</v>
      </c>
      <c r="G356" s="5" t="s">
        <v>100</v>
      </c>
      <c r="H356" s="5" t="s">
        <v>62</v>
      </c>
      <c r="I356" s="5" t="str">
        <f>HYPERLINK("http://www.sler.it/","www.sler.it")</f>
        <v>www.sler.it</v>
      </c>
      <c r="J356" s="7">
        <v>1200.328</v>
      </c>
      <c r="K356" s="7">
        <v>1200.328</v>
      </c>
      <c r="L356" s="8">
        <v>1159.973</v>
      </c>
      <c r="M356" s="7">
        <v>23.672999999999998</v>
      </c>
      <c r="N356" s="7">
        <v>23.672999999999998</v>
      </c>
      <c r="O356" s="7">
        <v>93.186000000000007</v>
      </c>
      <c r="P356" s="7">
        <v>19</v>
      </c>
      <c r="Q356" s="7">
        <v>19</v>
      </c>
      <c r="R356" s="7">
        <v>17</v>
      </c>
    </row>
    <row r="357" spans="1:18" ht="17" customHeight="1" x14ac:dyDescent="0.2">
      <c r="A357" s="10" t="s">
        <v>1544</v>
      </c>
      <c r="B357" s="11" t="s">
        <v>1545</v>
      </c>
      <c r="C357" s="10" t="s">
        <v>1546</v>
      </c>
      <c r="D357" s="10" t="s">
        <v>1546</v>
      </c>
      <c r="E357" s="10" t="s">
        <v>1547</v>
      </c>
      <c r="F357" s="10" t="s">
        <v>114</v>
      </c>
      <c r="G357" s="10" t="s">
        <v>49</v>
      </c>
      <c r="H357" s="10" t="s">
        <v>23</v>
      </c>
      <c r="I357" s="10" t="str">
        <f>HYPERLINK("http://www.martylo.it/","www.martylo.it/")</f>
        <v>www.martylo.it/</v>
      </c>
      <c r="J357" s="12">
        <v>1020.981</v>
      </c>
      <c r="K357" s="12">
        <v>1020.981</v>
      </c>
      <c r="L357" s="12">
        <v>1159.6110000000001</v>
      </c>
      <c r="M357" s="12">
        <v>8.3889999999999993</v>
      </c>
      <c r="N357" s="12">
        <v>8.3889999999999993</v>
      </c>
      <c r="O357" s="12">
        <v>16.896000000000001</v>
      </c>
      <c r="P357" s="12">
        <v>4</v>
      </c>
      <c r="Q357" s="12">
        <v>4</v>
      </c>
      <c r="R357" s="12">
        <v>4</v>
      </c>
    </row>
    <row r="358" spans="1:18" ht="17" customHeight="1" x14ac:dyDescent="0.2">
      <c r="A358" s="5" t="s">
        <v>1548</v>
      </c>
      <c r="B358" s="6" t="s">
        <v>1549</v>
      </c>
      <c r="C358" s="5" t="s">
        <v>1550</v>
      </c>
      <c r="D358" s="5" t="s">
        <v>1550</v>
      </c>
      <c r="E358" s="5" t="s">
        <v>1551</v>
      </c>
      <c r="F358" s="5" t="s">
        <v>21</v>
      </c>
      <c r="G358" s="5" t="s">
        <v>381</v>
      </c>
      <c r="H358" s="5" t="s">
        <v>23</v>
      </c>
      <c r="I358" s="5" t="str">
        <f>HYPERLINK("http://cristinamillotti.it/","cristinamillotti.it")</f>
        <v>cristinamillotti.it</v>
      </c>
      <c r="J358" s="7">
        <v>1346.9159999999999</v>
      </c>
      <c r="K358" s="7">
        <v>1346.9159999999999</v>
      </c>
      <c r="L358" s="8">
        <v>1157.5899999999999</v>
      </c>
      <c r="M358" s="7">
        <v>123.68</v>
      </c>
      <c r="N358" s="7">
        <v>123.68</v>
      </c>
      <c r="O358" s="7">
        <v>147.542</v>
      </c>
      <c r="P358" s="7">
        <v>8</v>
      </c>
      <c r="Q358" s="7">
        <v>8</v>
      </c>
      <c r="R358" s="7">
        <v>7</v>
      </c>
    </row>
    <row r="359" spans="1:18" ht="29.5" customHeight="1" x14ac:dyDescent="0.2">
      <c r="A359" s="10" t="s">
        <v>1552</v>
      </c>
      <c r="B359" s="11" t="s">
        <v>1553</v>
      </c>
      <c r="C359" s="10" t="s">
        <v>1554</v>
      </c>
      <c r="D359" s="10" t="s">
        <v>1554</v>
      </c>
      <c r="E359" s="10" t="s">
        <v>1555</v>
      </c>
      <c r="F359" s="10" t="s">
        <v>21</v>
      </c>
      <c r="G359" s="10" t="s">
        <v>140</v>
      </c>
      <c r="H359" s="10" t="s">
        <v>43</v>
      </c>
      <c r="I359" s="10" t="str">
        <f>HYPERLINK("http://www.lamontelliana.it/","www.lamontelliana.it")</f>
        <v>www.lamontelliana.it</v>
      </c>
      <c r="J359" s="12">
        <v>537.22900000000004</v>
      </c>
      <c r="K359" s="12">
        <v>537.22900000000004</v>
      </c>
      <c r="L359" s="12">
        <v>1157.155</v>
      </c>
      <c r="M359" s="12">
        <v>-203.34</v>
      </c>
      <c r="N359" s="12">
        <v>-203.34</v>
      </c>
      <c r="O359" s="12">
        <v>7.9329999999999998</v>
      </c>
      <c r="P359" s="12">
        <v>5</v>
      </c>
      <c r="Q359" s="12">
        <v>5</v>
      </c>
      <c r="R359" s="12">
        <v>5</v>
      </c>
    </row>
    <row r="360" spans="1:18" ht="17" customHeight="1" x14ac:dyDescent="0.2">
      <c r="A360" s="5" t="s">
        <v>1556</v>
      </c>
      <c r="B360" s="6" t="s">
        <v>1557</v>
      </c>
      <c r="C360" s="5" t="s">
        <v>1558</v>
      </c>
      <c r="D360" s="5" t="s">
        <v>1558</v>
      </c>
      <c r="E360" s="5" t="s">
        <v>1559</v>
      </c>
      <c r="F360" s="5" t="s">
        <v>48</v>
      </c>
      <c r="G360" s="5" t="s">
        <v>42</v>
      </c>
      <c r="H360" s="5" t="s">
        <v>43</v>
      </c>
      <c r="I360" s="5" t="str">
        <f>HYPERLINK("http://duegipelletterie.it/","duegipelletterie.it")</f>
        <v>duegipelletterie.it</v>
      </c>
      <c r="J360" s="7">
        <v>1087.1980000000001</v>
      </c>
      <c r="K360" s="7">
        <v>1087.1980000000001</v>
      </c>
      <c r="L360" s="8">
        <v>1156.7</v>
      </c>
      <c r="M360" s="7">
        <v>5.508</v>
      </c>
      <c r="N360" s="7">
        <v>5.508</v>
      </c>
      <c r="O360" s="7">
        <v>6.7350000000000003</v>
      </c>
      <c r="P360" s="7">
        <v>16</v>
      </c>
      <c r="Q360" s="7">
        <v>16</v>
      </c>
      <c r="R360" s="7">
        <v>17</v>
      </c>
    </row>
    <row r="361" spans="1:18" ht="17" customHeight="1" x14ac:dyDescent="0.2">
      <c r="A361" s="10" t="s">
        <v>1560</v>
      </c>
      <c r="B361" s="11" t="s">
        <v>1561</v>
      </c>
      <c r="C361" s="10" t="s">
        <v>1562</v>
      </c>
      <c r="D361" s="10" t="s">
        <v>1562</v>
      </c>
      <c r="E361" s="10" t="s">
        <v>1563</v>
      </c>
      <c r="F361" s="10" t="s">
        <v>21</v>
      </c>
      <c r="G361" s="10" t="s">
        <v>89</v>
      </c>
      <c r="H361" s="10" t="s">
        <v>56</v>
      </c>
      <c r="I361" s="10" t="str">
        <f>HYPERLINK("http://www.myaclara.it/","www.myaclara.it")</f>
        <v>www.myaclara.it</v>
      </c>
      <c r="J361" s="12">
        <v>1109.7570000000001</v>
      </c>
      <c r="K361" s="12">
        <v>1109.7570000000001</v>
      </c>
      <c r="L361" s="12">
        <v>1155.338</v>
      </c>
      <c r="M361" s="12">
        <v>-3.9529999999999998</v>
      </c>
      <c r="N361" s="12">
        <v>-3.9529999999999998</v>
      </c>
      <c r="O361" s="12">
        <v>9.7119999999999997</v>
      </c>
      <c r="P361" s="12">
        <v>7</v>
      </c>
      <c r="Q361" s="12">
        <v>7</v>
      </c>
      <c r="R361" s="12">
        <v>6</v>
      </c>
    </row>
    <row r="362" spans="1:18" ht="17" customHeight="1" x14ac:dyDescent="0.2">
      <c r="A362" s="5" t="s">
        <v>1564</v>
      </c>
      <c r="B362" s="6" t="s">
        <v>1565</v>
      </c>
      <c r="C362" s="5" t="s">
        <v>1566</v>
      </c>
      <c r="D362" s="5" t="s">
        <v>1566</v>
      </c>
      <c r="E362" s="5" t="s">
        <v>1567</v>
      </c>
      <c r="F362" s="5" t="s">
        <v>482</v>
      </c>
      <c r="G362" s="5" t="s">
        <v>190</v>
      </c>
      <c r="H362" s="5" t="s">
        <v>74</v>
      </c>
      <c r="I362" s="5" t="str">
        <f>HYPERLINK("http://www.valentinabags.it/","www.valentinabags.it")</f>
        <v>www.valentinabags.it</v>
      </c>
      <c r="J362" s="7">
        <v>1154.463</v>
      </c>
      <c r="K362" s="9" t="s">
        <v>24</v>
      </c>
      <c r="L362" s="8">
        <v>1154.463</v>
      </c>
      <c r="M362" s="7">
        <v>21.960999999999999</v>
      </c>
      <c r="N362" s="9" t="s">
        <v>24</v>
      </c>
      <c r="O362" s="7">
        <v>21.960999999999999</v>
      </c>
      <c r="P362" s="7">
        <v>9</v>
      </c>
      <c r="Q362" s="9" t="s">
        <v>24</v>
      </c>
      <c r="R362" s="7">
        <v>9</v>
      </c>
    </row>
    <row r="363" spans="1:18" ht="17" customHeight="1" x14ac:dyDescent="0.2">
      <c r="A363" s="10" t="s">
        <v>1568</v>
      </c>
      <c r="B363" s="11" t="s">
        <v>1569</v>
      </c>
      <c r="C363" s="10" t="s">
        <v>1570</v>
      </c>
      <c r="D363" s="10" t="s">
        <v>1570</v>
      </c>
      <c r="E363" s="10" t="s">
        <v>1571</v>
      </c>
      <c r="F363" s="10" t="s">
        <v>105</v>
      </c>
      <c r="G363" s="10" t="s">
        <v>416</v>
      </c>
      <c r="H363" s="10" t="s">
        <v>121</v>
      </c>
      <c r="I363" s="10" t="str">
        <f>HYPERLINK("http://www.elko.it/","www.elko.it")</f>
        <v>www.elko.it</v>
      </c>
      <c r="J363" s="12">
        <v>1226.0909999999999</v>
      </c>
      <c r="K363" s="12">
        <v>1226.0909999999999</v>
      </c>
      <c r="L363" s="12">
        <v>1152.4449999999999</v>
      </c>
      <c r="M363" s="12">
        <v>16.306999999999999</v>
      </c>
      <c r="N363" s="12">
        <v>16.306999999999999</v>
      </c>
      <c r="O363" s="12">
        <v>15.611000000000001</v>
      </c>
      <c r="P363" s="13" t="s">
        <v>24</v>
      </c>
      <c r="Q363" s="13" t="s">
        <v>24</v>
      </c>
      <c r="R363" s="12">
        <v>4</v>
      </c>
    </row>
    <row r="364" spans="1:18" ht="17" customHeight="1" x14ac:dyDescent="0.2">
      <c r="A364" s="5" t="s">
        <v>1572</v>
      </c>
      <c r="B364" s="6" t="s">
        <v>1573</v>
      </c>
      <c r="C364" s="5" t="s">
        <v>1574</v>
      </c>
      <c r="D364" s="5" t="s">
        <v>1574</v>
      </c>
      <c r="E364" s="5" t="s">
        <v>1575</v>
      </c>
      <c r="F364" s="5" t="s">
        <v>134</v>
      </c>
      <c r="G364" s="5" t="s">
        <v>115</v>
      </c>
      <c r="H364" s="5" t="s">
        <v>43</v>
      </c>
      <c r="I364" s="5" t="str">
        <f>HYPERLINK("http://www.sposadeste.it/","www.sposadeste.it")</f>
        <v>www.sposadeste.it</v>
      </c>
      <c r="J364" s="7">
        <v>1479.0119999999999</v>
      </c>
      <c r="K364" s="7">
        <v>1479.0119999999999</v>
      </c>
      <c r="L364" s="8">
        <v>1150.962</v>
      </c>
      <c r="M364" s="7">
        <v>91.289000000000001</v>
      </c>
      <c r="N364" s="7">
        <v>91.289000000000001</v>
      </c>
      <c r="O364" s="7">
        <v>110.291</v>
      </c>
      <c r="P364" s="9" t="s">
        <v>24</v>
      </c>
      <c r="Q364" s="9" t="s">
        <v>24</v>
      </c>
      <c r="R364" s="7">
        <v>10</v>
      </c>
    </row>
    <row r="365" spans="1:18" ht="29.5" customHeight="1" x14ac:dyDescent="0.2">
      <c r="A365" s="10" t="s">
        <v>1576</v>
      </c>
      <c r="B365" s="11" t="s">
        <v>1577</v>
      </c>
      <c r="C365" s="10" t="s">
        <v>1578</v>
      </c>
      <c r="D365" s="10" t="s">
        <v>1578</v>
      </c>
      <c r="E365" s="10" t="s">
        <v>1579</v>
      </c>
      <c r="F365" s="10" t="s">
        <v>41</v>
      </c>
      <c r="G365" s="10" t="s">
        <v>42</v>
      </c>
      <c r="H365" s="10" t="s">
        <v>43</v>
      </c>
      <c r="I365" s="10" t="str">
        <f>HYPERLINK("http://tregipell.it/","tregipell.it")</f>
        <v>tregipell.it</v>
      </c>
      <c r="J365" s="12">
        <v>606.54999999999995</v>
      </c>
      <c r="K365" s="12">
        <v>606.54999999999995</v>
      </c>
      <c r="L365" s="12">
        <v>1150.971</v>
      </c>
      <c r="M365" s="12">
        <v>-59.709000000000003</v>
      </c>
      <c r="N365" s="12">
        <v>-59.709000000000003</v>
      </c>
      <c r="O365" s="12">
        <v>5.3419999999999996</v>
      </c>
      <c r="P365" s="12">
        <v>3</v>
      </c>
      <c r="Q365" s="12">
        <v>3</v>
      </c>
      <c r="R365" s="12">
        <v>4</v>
      </c>
    </row>
    <row r="366" spans="1:18" ht="17" customHeight="1" x14ac:dyDescent="0.2">
      <c r="A366" s="5" t="s">
        <v>1580</v>
      </c>
      <c r="B366" s="6" t="s">
        <v>1581</v>
      </c>
      <c r="C366" s="5" t="s">
        <v>1582</v>
      </c>
      <c r="D366" s="5" t="s">
        <v>1582</v>
      </c>
      <c r="E366" s="5" t="s">
        <v>1583</v>
      </c>
      <c r="F366" s="5" t="s">
        <v>48</v>
      </c>
      <c r="G366" s="5" t="s">
        <v>61</v>
      </c>
      <c r="H366" s="5" t="s">
        <v>62</v>
      </c>
      <c r="I366" s="5" t="str">
        <f>HYPERLINK("http://www.mc2madeinitaly.it/","www.mc2madeinitaly.it")</f>
        <v>www.mc2madeinitaly.it</v>
      </c>
      <c r="J366" s="7">
        <v>2803.8690000000001</v>
      </c>
      <c r="K366" s="7">
        <v>2803.8690000000001</v>
      </c>
      <c r="L366" s="8">
        <v>1150.6790000000001</v>
      </c>
      <c r="M366" s="7">
        <v>177.9</v>
      </c>
      <c r="N366" s="7">
        <v>177.9</v>
      </c>
      <c r="O366" s="7">
        <v>111.27500000000001</v>
      </c>
      <c r="P366" s="7">
        <v>1</v>
      </c>
      <c r="Q366" s="7">
        <v>1</v>
      </c>
      <c r="R366" s="7">
        <v>0</v>
      </c>
    </row>
    <row r="367" spans="1:18" ht="17" customHeight="1" x14ac:dyDescent="0.2">
      <c r="A367" s="10" t="s">
        <v>1584</v>
      </c>
      <c r="B367" s="11" t="s">
        <v>1585</v>
      </c>
      <c r="C367" s="10" t="s">
        <v>1586</v>
      </c>
      <c r="D367" s="10" t="s">
        <v>1586</v>
      </c>
      <c r="E367" s="10" t="s">
        <v>1587</v>
      </c>
      <c r="F367" s="10" t="s">
        <v>54</v>
      </c>
      <c r="G367" s="10" t="s">
        <v>89</v>
      </c>
      <c r="H367" s="10" t="s">
        <v>56</v>
      </c>
      <c r="I367" s="10" t="str">
        <f>HYPERLINK("http://www.suolificiotreesse.it/","www.suolificiotreesse.it")</f>
        <v>www.suolificiotreesse.it</v>
      </c>
      <c r="J367" s="12">
        <v>1157.5730000000001</v>
      </c>
      <c r="K367" s="12">
        <v>1157.5730000000001</v>
      </c>
      <c r="L367" s="12">
        <v>1149.999</v>
      </c>
      <c r="M367" s="12">
        <v>5.3369999999999997</v>
      </c>
      <c r="N367" s="12">
        <v>5.3369999999999997</v>
      </c>
      <c r="O367" s="12">
        <v>4.2430000000000003</v>
      </c>
      <c r="P367" s="12">
        <v>12</v>
      </c>
      <c r="Q367" s="12">
        <v>12</v>
      </c>
      <c r="R367" s="12">
        <v>12</v>
      </c>
    </row>
    <row r="368" spans="1:18" ht="17" customHeight="1" x14ac:dyDescent="0.2">
      <c r="A368" s="5" t="s">
        <v>1588</v>
      </c>
      <c r="B368" s="6" t="s">
        <v>1589</v>
      </c>
      <c r="C368" s="5" t="s">
        <v>1590</v>
      </c>
      <c r="D368" s="5" t="s">
        <v>1590</v>
      </c>
      <c r="E368" s="5" t="s">
        <v>1591</v>
      </c>
      <c r="F368" s="5" t="s">
        <v>114</v>
      </c>
      <c r="G368" s="5" t="s">
        <v>42</v>
      </c>
      <c r="H368" s="5" t="s">
        <v>43</v>
      </c>
      <c r="I368" s="5" t="str">
        <f>HYPERLINK("http://b-wear.it/","b-wear.it")</f>
        <v>b-wear.it</v>
      </c>
      <c r="J368" s="7">
        <v>1037.6980000000001</v>
      </c>
      <c r="K368" s="7">
        <v>1037.6980000000001</v>
      </c>
      <c r="L368" s="8">
        <v>1150.037</v>
      </c>
      <c r="M368" s="7">
        <v>60.405999999999999</v>
      </c>
      <c r="N368" s="7">
        <v>60.405999999999999</v>
      </c>
      <c r="O368" s="7">
        <v>147.976</v>
      </c>
      <c r="P368" s="7">
        <v>11</v>
      </c>
      <c r="Q368" s="7">
        <v>11</v>
      </c>
      <c r="R368" s="7">
        <v>11</v>
      </c>
    </row>
    <row r="369" spans="1:18" ht="17" customHeight="1" x14ac:dyDescent="0.2">
      <c r="A369" s="10" t="s">
        <v>1592</v>
      </c>
      <c r="B369" s="11" t="s">
        <v>1593</v>
      </c>
      <c r="C369" s="10" t="s">
        <v>1594</v>
      </c>
      <c r="D369" s="10" t="s">
        <v>1594</v>
      </c>
      <c r="E369" s="10" t="s">
        <v>1595</v>
      </c>
      <c r="F369" s="10" t="s">
        <v>48</v>
      </c>
      <c r="G369" s="10" t="s">
        <v>89</v>
      </c>
      <c r="H369" s="10" t="s">
        <v>56</v>
      </c>
      <c r="I369" s="10" t="str">
        <f>HYPERLINK("http://saraburglar.com/","saraburglar.com")</f>
        <v>saraburglar.com</v>
      </c>
      <c r="J369" s="12">
        <v>1294.7270000000001</v>
      </c>
      <c r="K369" s="12">
        <v>1294.7270000000001</v>
      </c>
      <c r="L369" s="12">
        <v>1147.489</v>
      </c>
      <c r="M369" s="12">
        <v>28.512</v>
      </c>
      <c r="N369" s="12">
        <v>28.512</v>
      </c>
      <c r="O369" s="12">
        <v>27.88</v>
      </c>
      <c r="P369" s="12">
        <v>5</v>
      </c>
      <c r="Q369" s="12">
        <v>5</v>
      </c>
      <c r="R369" s="12">
        <v>5</v>
      </c>
    </row>
    <row r="370" spans="1:18" ht="17" customHeight="1" x14ac:dyDescent="0.2">
      <c r="A370" s="5" t="s">
        <v>1596</v>
      </c>
      <c r="B370" s="6" t="s">
        <v>1597</v>
      </c>
      <c r="C370" s="5" t="s">
        <v>1598</v>
      </c>
      <c r="D370" s="5" t="s">
        <v>1598</v>
      </c>
      <c r="E370" s="5" t="s">
        <v>1599</v>
      </c>
      <c r="F370" s="5" t="s">
        <v>41</v>
      </c>
      <c r="G370" s="5" t="s">
        <v>190</v>
      </c>
      <c r="H370" s="5" t="s">
        <v>74</v>
      </c>
      <c r="I370" s="5" t="str">
        <f>HYPERLINK("http://www.conceriaturbighese.it/","http://www.conceriaturbighese.it")</f>
        <v>http://www.conceriaturbighese.it</v>
      </c>
      <c r="J370" s="7">
        <v>1210.3499999999999</v>
      </c>
      <c r="K370" s="7">
        <v>1210.3499999999999</v>
      </c>
      <c r="L370" s="8">
        <v>1146.231</v>
      </c>
      <c r="M370" s="7">
        <v>-354.31299999999999</v>
      </c>
      <c r="N370" s="7">
        <v>-354.31299999999999</v>
      </c>
      <c r="O370" s="7">
        <v>-314.96100000000001</v>
      </c>
      <c r="P370" s="7">
        <v>9</v>
      </c>
      <c r="Q370" s="7">
        <v>9</v>
      </c>
      <c r="R370" s="7">
        <v>9</v>
      </c>
    </row>
    <row r="371" spans="1:18" ht="17" customHeight="1" x14ac:dyDescent="0.2">
      <c r="A371" s="10" t="s">
        <v>1600</v>
      </c>
      <c r="B371" s="11" t="s">
        <v>1601</v>
      </c>
      <c r="C371" s="10" t="s">
        <v>1602</v>
      </c>
      <c r="D371" s="10" t="s">
        <v>1602</v>
      </c>
      <c r="E371" s="10" t="s">
        <v>1603</v>
      </c>
      <c r="F371" s="10" t="s">
        <v>21</v>
      </c>
      <c r="G371" s="10" t="s">
        <v>79</v>
      </c>
      <c r="H371" s="10" t="s">
        <v>56</v>
      </c>
      <c r="I371" s="10" t="str">
        <f>HYPERLINK("http://www.lorenapaggi.it/","www.lorenapaggi.it")</f>
        <v>www.lorenapaggi.it</v>
      </c>
      <c r="J371" s="12">
        <v>1227.2070000000001</v>
      </c>
      <c r="K371" s="12">
        <v>1227.2070000000001</v>
      </c>
      <c r="L371" s="12">
        <v>1145.124</v>
      </c>
      <c r="M371" s="12">
        <v>13.848000000000001</v>
      </c>
      <c r="N371" s="12">
        <v>13.848000000000001</v>
      </c>
      <c r="O371" s="12">
        <v>12.958</v>
      </c>
      <c r="P371" s="13" t="s">
        <v>24</v>
      </c>
      <c r="Q371" s="13" t="s">
        <v>24</v>
      </c>
      <c r="R371" s="12">
        <v>3</v>
      </c>
    </row>
    <row r="372" spans="1:18" ht="17" customHeight="1" x14ac:dyDescent="0.2">
      <c r="A372" s="5" t="s">
        <v>1604</v>
      </c>
      <c r="B372" s="6" t="s">
        <v>1605</v>
      </c>
      <c r="C372" s="5" t="s">
        <v>1606</v>
      </c>
      <c r="D372" s="5" t="s">
        <v>1606</v>
      </c>
      <c r="E372" s="5" t="s">
        <v>1607</v>
      </c>
      <c r="F372" s="5" t="s">
        <v>29</v>
      </c>
      <c r="G372" s="5" t="s">
        <v>274</v>
      </c>
      <c r="H372" s="5" t="s">
        <v>31</v>
      </c>
      <c r="I372" s="5" t="str">
        <f>HYPERLINK("http://www.nineminutes.it/","www.nineminutes.it")</f>
        <v>www.nineminutes.it</v>
      </c>
      <c r="J372" s="7">
        <v>935.58399999999995</v>
      </c>
      <c r="K372" s="7">
        <v>935.58399999999995</v>
      </c>
      <c r="L372" s="8">
        <v>1144.585</v>
      </c>
      <c r="M372" s="7">
        <v>5.79</v>
      </c>
      <c r="N372" s="7">
        <v>5.79</v>
      </c>
      <c r="O372" s="7">
        <v>2.6640000000000001</v>
      </c>
      <c r="P372" s="7">
        <v>7</v>
      </c>
      <c r="Q372" s="7">
        <v>7</v>
      </c>
      <c r="R372" s="7">
        <v>7</v>
      </c>
    </row>
    <row r="373" spans="1:18" ht="17" customHeight="1" x14ac:dyDescent="0.2">
      <c r="A373" s="10" t="s">
        <v>1608</v>
      </c>
      <c r="B373" s="11" t="s">
        <v>1609</v>
      </c>
      <c r="C373" s="10" t="s">
        <v>1610</v>
      </c>
      <c r="D373" s="10" t="s">
        <v>1610</v>
      </c>
      <c r="E373" s="10" t="s">
        <v>1611</v>
      </c>
      <c r="F373" s="10" t="s">
        <v>114</v>
      </c>
      <c r="G373" s="10" t="s">
        <v>190</v>
      </c>
      <c r="H373" s="10" t="s">
        <v>74</v>
      </c>
      <c r="I373" s="10" t="str">
        <f>HYPERLINK("http://www.forrestlesssleepers.com/","www.forrestlesssleepers.com")</f>
        <v>www.forrestlesssleepers.com</v>
      </c>
      <c r="J373" s="12">
        <v>1430.46</v>
      </c>
      <c r="K373" s="12">
        <v>1430.46</v>
      </c>
      <c r="L373" s="12">
        <v>1144.384</v>
      </c>
      <c r="M373" s="12">
        <v>-161.61099999999999</v>
      </c>
      <c r="N373" s="12">
        <v>-161.61099999999999</v>
      </c>
      <c r="O373" s="12">
        <v>-235.57499999999999</v>
      </c>
      <c r="P373" s="13" t="s">
        <v>24</v>
      </c>
      <c r="Q373" s="13" t="s">
        <v>24</v>
      </c>
      <c r="R373" s="12">
        <v>6</v>
      </c>
    </row>
    <row r="374" spans="1:18" ht="17" customHeight="1" x14ac:dyDescent="0.2">
      <c r="A374" s="5" t="s">
        <v>1612</v>
      </c>
      <c r="B374" s="6" t="s">
        <v>1613</v>
      </c>
      <c r="C374" s="5" t="s">
        <v>1614</v>
      </c>
      <c r="D374" s="5" t="s">
        <v>1614</v>
      </c>
      <c r="E374" s="5" t="s">
        <v>1615</v>
      </c>
      <c r="F374" s="5" t="s">
        <v>114</v>
      </c>
      <c r="G374" s="5" t="s">
        <v>42</v>
      </c>
      <c r="H374" s="5" t="s">
        <v>43</v>
      </c>
      <c r="I374" s="5" t="str">
        <f>HYPERLINK("http://www.dallago1958.com/","www.dallago1958.com")</f>
        <v>www.dallago1958.com</v>
      </c>
      <c r="J374" s="7">
        <v>1083.8910000000001</v>
      </c>
      <c r="K374" s="7">
        <v>1083.8910000000001</v>
      </c>
      <c r="L374" s="8">
        <v>1144.04</v>
      </c>
      <c r="M374" s="7">
        <v>30.521999999999998</v>
      </c>
      <c r="N374" s="7">
        <v>30.521999999999998</v>
      </c>
      <c r="O374" s="7">
        <v>42.908999999999999</v>
      </c>
      <c r="P374" s="7">
        <v>5</v>
      </c>
      <c r="Q374" s="7">
        <v>5</v>
      </c>
      <c r="R374" s="7">
        <v>5</v>
      </c>
    </row>
    <row r="375" spans="1:18" ht="17" customHeight="1" x14ac:dyDescent="0.2">
      <c r="A375" s="10" t="s">
        <v>1616</v>
      </c>
      <c r="B375" s="11" t="s">
        <v>1617</v>
      </c>
      <c r="C375" s="10" t="s">
        <v>1618</v>
      </c>
      <c r="D375" s="10" t="s">
        <v>1618</v>
      </c>
      <c r="E375" s="10" t="s">
        <v>1619</v>
      </c>
      <c r="F375" s="10" t="s">
        <v>252</v>
      </c>
      <c r="G375" s="10" t="s">
        <v>843</v>
      </c>
      <c r="H375" s="10" t="s">
        <v>299</v>
      </c>
      <c r="I375" s="10" t="str">
        <f>HYPERLINK("http://www.stirovap.com/","www.stirovap.com")</f>
        <v>www.stirovap.com</v>
      </c>
      <c r="J375" s="12">
        <v>945.25800000000004</v>
      </c>
      <c r="K375" s="12">
        <v>945.25800000000004</v>
      </c>
      <c r="L375" s="12">
        <v>1143.616</v>
      </c>
      <c r="M375" s="12">
        <v>17.646000000000001</v>
      </c>
      <c r="N375" s="12">
        <v>17.646000000000001</v>
      </c>
      <c r="O375" s="12">
        <v>119.89700000000001</v>
      </c>
      <c r="P375" s="12">
        <v>2</v>
      </c>
      <c r="Q375" s="12">
        <v>2</v>
      </c>
      <c r="R375" s="12">
        <v>2</v>
      </c>
    </row>
    <row r="376" spans="1:18" ht="17" customHeight="1" x14ac:dyDescent="0.2">
      <c r="A376" s="5" t="s">
        <v>1620</v>
      </c>
      <c r="B376" s="6" t="s">
        <v>1621</v>
      </c>
      <c r="C376" s="5" t="s">
        <v>1622</v>
      </c>
      <c r="D376" s="5" t="s">
        <v>1622</v>
      </c>
      <c r="E376" s="5" t="s">
        <v>1623</v>
      </c>
      <c r="F376" s="5" t="s">
        <v>54</v>
      </c>
      <c r="G376" s="5" t="s">
        <v>79</v>
      </c>
      <c r="H376" s="5" t="s">
        <v>56</v>
      </c>
      <c r="I376" s="5" t="str">
        <f>HYPERLINK("http://www.teox.it/","www.teox.it")</f>
        <v>www.teox.it</v>
      </c>
      <c r="J376" s="7">
        <v>1076.0160000000001</v>
      </c>
      <c r="K376" s="7">
        <v>1076.0160000000001</v>
      </c>
      <c r="L376" s="8">
        <v>1142.8889999999999</v>
      </c>
      <c r="M376" s="7">
        <v>12.709</v>
      </c>
      <c r="N376" s="7">
        <v>12.709</v>
      </c>
      <c r="O376" s="7">
        <v>7.09</v>
      </c>
      <c r="P376" s="7">
        <v>4</v>
      </c>
      <c r="Q376" s="7">
        <v>4</v>
      </c>
      <c r="R376" s="7">
        <v>4</v>
      </c>
    </row>
    <row r="377" spans="1:18" ht="29.5" customHeight="1" x14ac:dyDescent="0.2">
      <c r="A377" s="10" t="s">
        <v>1624</v>
      </c>
      <c r="B377" s="11" t="s">
        <v>1625</v>
      </c>
      <c r="C377" s="10" t="s">
        <v>1626</v>
      </c>
      <c r="D377" s="10" t="s">
        <v>1626</v>
      </c>
      <c r="E377" s="10" t="s">
        <v>1627</v>
      </c>
      <c r="F377" s="10" t="s">
        <v>860</v>
      </c>
      <c r="G377" s="10" t="s">
        <v>234</v>
      </c>
      <c r="H377" s="10" t="s">
        <v>23</v>
      </c>
      <c r="I377" s="10" t="str">
        <f>HYPERLINK("http://www.florenceinternational.it/","www.florenceinternational.it")</f>
        <v>www.florenceinternational.it</v>
      </c>
      <c r="J377" s="12">
        <v>1000.436</v>
      </c>
      <c r="K377" s="12">
        <v>1000.436</v>
      </c>
      <c r="L377" s="12">
        <v>1142.145</v>
      </c>
      <c r="M377" s="12">
        <v>18.969000000000001</v>
      </c>
      <c r="N377" s="12">
        <v>18.969000000000001</v>
      </c>
      <c r="O377" s="12">
        <v>30.29</v>
      </c>
      <c r="P377" s="12">
        <v>8</v>
      </c>
      <c r="Q377" s="12">
        <v>8</v>
      </c>
      <c r="R377" s="12">
        <v>7</v>
      </c>
    </row>
    <row r="378" spans="1:18" ht="17" customHeight="1" x14ac:dyDescent="0.2">
      <c r="A378" s="5" t="s">
        <v>1628</v>
      </c>
      <c r="B378" s="6" t="s">
        <v>1629</v>
      </c>
      <c r="C378" s="5" t="s">
        <v>1630</v>
      </c>
      <c r="D378" s="5" t="s">
        <v>1630</v>
      </c>
      <c r="E378" s="5" t="s">
        <v>1631</v>
      </c>
      <c r="F378" s="5" t="s">
        <v>29</v>
      </c>
      <c r="G378" s="5" t="s">
        <v>190</v>
      </c>
      <c r="H378" s="5" t="s">
        <v>74</v>
      </c>
      <c r="I378" s="5" t="str">
        <f>HYPERLINK("http://www.tiennecommerciale.it/","http://www.tiennecommerciale.it")</f>
        <v>http://www.tiennecommerciale.it</v>
      </c>
      <c r="J378" s="7">
        <v>1282.915</v>
      </c>
      <c r="K378" s="7">
        <v>1282.915</v>
      </c>
      <c r="L378" s="8">
        <v>1140.923</v>
      </c>
      <c r="M378" s="7">
        <v>4.6109999999999998</v>
      </c>
      <c r="N378" s="7">
        <v>4.6109999999999998</v>
      </c>
      <c r="O378" s="7">
        <v>1.891</v>
      </c>
      <c r="P378" s="7">
        <v>8</v>
      </c>
      <c r="Q378" s="7">
        <v>8</v>
      </c>
      <c r="R378" s="7">
        <v>9</v>
      </c>
    </row>
    <row r="379" spans="1:18" ht="17" customHeight="1" x14ac:dyDescent="0.2">
      <c r="A379" s="10" t="s">
        <v>1632</v>
      </c>
      <c r="B379" s="11" t="s">
        <v>1633</v>
      </c>
      <c r="C379" s="10" t="s">
        <v>1634</v>
      </c>
      <c r="D379" s="10" t="s">
        <v>1634</v>
      </c>
      <c r="E379" s="10" t="s">
        <v>1635</v>
      </c>
      <c r="F379" s="10" t="s">
        <v>29</v>
      </c>
      <c r="G379" s="10" t="s">
        <v>115</v>
      </c>
      <c r="H379" s="10" t="s">
        <v>43</v>
      </c>
      <c r="I379" s="10" t="str">
        <f>HYPERLINK("http://www.npmitaly.com/","www.npmitaly.com")</f>
        <v>www.npmitaly.com</v>
      </c>
      <c r="J379" s="12">
        <v>810.70500000000004</v>
      </c>
      <c r="K379" s="12">
        <v>810.70500000000004</v>
      </c>
      <c r="L379" s="12">
        <v>1140.2370000000001</v>
      </c>
      <c r="M379" s="12">
        <v>-1.367</v>
      </c>
      <c r="N379" s="12">
        <v>-1.367</v>
      </c>
      <c r="O379" s="12">
        <v>52.095999999999997</v>
      </c>
      <c r="P379" s="13" t="s">
        <v>24</v>
      </c>
      <c r="Q379" s="13" t="s">
        <v>24</v>
      </c>
      <c r="R379" s="12">
        <v>3</v>
      </c>
    </row>
    <row r="380" spans="1:18" ht="17" customHeight="1" x14ac:dyDescent="0.2">
      <c r="A380" s="5" t="s">
        <v>1636</v>
      </c>
      <c r="B380" s="6" t="s">
        <v>1637</v>
      </c>
      <c r="C380" s="5" t="s">
        <v>1638</v>
      </c>
      <c r="D380" s="5" t="s">
        <v>1638</v>
      </c>
      <c r="E380" s="5" t="s">
        <v>1639</v>
      </c>
      <c r="F380" s="5" t="s">
        <v>376</v>
      </c>
      <c r="G380" s="5" t="s">
        <v>224</v>
      </c>
      <c r="H380" s="5" t="s">
        <v>23</v>
      </c>
      <c r="I380" s="5" t="str">
        <f>HYPERLINK("http://trancerialatoscana.it/","trancerialatoscana.it")</f>
        <v>trancerialatoscana.it</v>
      </c>
      <c r="J380" s="7">
        <v>1009.125</v>
      </c>
      <c r="K380" s="7">
        <v>1009.125</v>
      </c>
      <c r="L380" s="8">
        <v>1138.3340000000001</v>
      </c>
      <c r="M380" s="7">
        <v>622.61300000000006</v>
      </c>
      <c r="N380" s="7">
        <v>622.61300000000006</v>
      </c>
      <c r="O380" s="7">
        <v>29.712</v>
      </c>
      <c r="P380" s="7">
        <v>11</v>
      </c>
      <c r="Q380" s="7">
        <v>11</v>
      </c>
      <c r="R380" s="7">
        <v>11</v>
      </c>
    </row>
    <row r="381" spans="1:18" ht="17" customHeight="1" x14ac:dyDescent="0.2">
      <c r="A381" s="10" t="s">
        <v>1640</v>
      </c>
      <c r="B381" s="11" t="s">
        <v>1641</v>
      </c>
      <c r="C381" s="10" t="s">
        <v>1642</v>
      </c>
      <c r="D381" s="10" t="s">
        <v>1642</v>
      </c>
      <c r="E381" s="10" t="s">
        <v>1643</v>
      </c>
      <c r="F381" s="10" t="s">
        <v>72</v>
      </c>
      <c r="G381" s="10" t="s">
        <v>283</v>
      </c>
      <c r="H381" s="10" t="s">
        <v>74</v>
      </c>
      <c r="I381" s="10" t="str">
        <f>HYPERLINK("http://www.bombanacalze.com/","www.bombanacalze.com")</f>
        <v>www.bombanacalze.com</v>
      </c>
      <c r="J381" s="12">
        <v>909.76900000000001</v>
      </c>
      <c r="K381" s="12">
        <v>909.76900000000001</v>
      </c>
      <c r="L381" s="12">
        <v>1138.06</v>
      </c>
      <c r="M381" s="12">
        <v>-73.242999999999995</v>
      </c>
      <c r="N381" s="12">
        <v>-73.242999999999995</v>
      </c>
      <c r="O381" s="12">
        <v>-94.53</v>
      </c>
      <c r="P381" s="13" t="s">
        <v>24</v>
      </c>
      <c r="Q381" s="13" t="s">
        <v>24</v>
      </c>
      <c r="R381" s="12">
        <v>8</v>
      </c>
    </row>
    <row r="382" spans="1:18" ht="17" customHeight="1" x14ac:dyDescent="0.2">
      <c r="A382" s="5" t="s">
        <v>1644</v>
      </c>
      <c r="B382" s="6" t="s">
        <v>1645</v>
      </c>
      <c r="C382" s="5" t="s">
        <v>1646</v>
      </c>
      <c r="D382" s="5" t="s">
        <v>1646</v>
      </c>
      <c r="E382" s="5" t="s">
        <v>1647</v>
      </c>
      <c r="F382" s="5" t="s">
        <v>134</v>
      </c>
      <c r="G382" s="5" t="s">
        <v>654</v>
      </c>
      <c r="H382" s="5" t="s">
        <v>159</v>
      </c>
      <c r="I382" s="5" t="str">
        <f>HYPERLINK("http://www.bottegaconticelli.it/","www.bottegaconticelli.it")</f>
        <v>www.bottegaconticelli.it</v>
      </c>
      <c r="J382" s="7">
        <v>606.73099999999999</v>
      </c>
      <c r="K382" s="7">
        <v>606.73099999999999</v>
      </c>
      <c r="L382" s="8">
        <v>1135.585</v>
      </c>
      <c r="M382" s="7">
        <v>0.14199999999999999</v>
      </c>
      <c r="N382" s="7">
        <v>0.14199999999999999</v>
      </c>
      <c r="O382" s="7">
        <v>5.6790000000000003</v>
      </c>
      <c r="P382" s="9" t="s">
        <v>24</v>
      </c>
      <c r="Q382" s="9" t="s">
        <v>24</v>
      </c>
      <c r="R382" s="7">
        <v>6</v>
      </c>
    </row>
    <row r="383" spans="1:18" ht="17" customHeight="1" x14ac:dyDescent="0.2">
      <c r="A383" s="10" t="s">
        <v>1648</v>
      </c>
      <c r="B383" s="11" t="s">
        <v>1649</v>
      </c>
      <c r="C383" s="10" t="s">
        <v>1650</v>
      </c>
      <c r="D383" s="10" t="s">
        <v>1650</v>
      </c>
      <c r="E383" s="10" t="s">
        <v>1651</v>
      </c>
      <c r="F383" s="10" t="s">
        <v>482</v>
      </c>
      <c r="G383" s="10" t="s">
        <v>49</v>
      </c>
      <c r="H383" s="10" t="s">
        <v>23</v>
      </c>
      <c r="I383" s="10" t="str">
        <f>HYPERLINK("http://cobripelletterie.it/","cobripelletterie.it")</f>
        <v>cobripelletterie.it</v>
      </c>
      <c r="J383" s="12">
        <v>827.21299999999997</v>
      </c>
      <c r="K383" s="12">
        <v>827.21299999999997</v>
      </c>
      <c r="L383" s="12">
        <v>1135.0060000000001</v>
      </c>
      <c r="M383" s="12">
        <v>-99.463999999999999</v>
      </c>
      <c r="N383" s="12">
        <v>-99.463999999999999</v>
      </c>
      <c r="O383" s="12">
        <v>1.1060000000000001</v>
      </c>
      <c r="P383" s="12">
        <v>16</v>
      </c>
      <c r="Q383" s="12">
        <v>16</v>
      </c>
      <c r="R383" s="12">
        <v>13</v>
      </c>
    </row>
    <row r="384" spans="1:18" ht="17" customHeight="1" x14ac:dyDescent="0.2">
      <c r="A384" s="5" t="s">
        <v>1652</v>
      </c>
      <c r="B384" s="6" t="s">
        <v>1653</v>
      </c>
      <c r="C384" s="5" t="s">
        <v>1654</v>
      </c>
      <c r="D384" s="5" t="s">
        <v>1654</v>
      </c>
      <c r="E384" s="5" t="s">
        <v>1655</v>
      </c>
      <c r="F384" s="5" t="s">
        <v>114</v>
      </c>
      <c r="G384" s="5" t="s">
        <v>797</v>
      </c>
      <c r="H384" s="5" t="s">
        <v>299</v>
      </c>
      <c r="I384" s="5" t="str">
        <f>HYPERLINK("http://www.auroramarzocchi.it/","www.auroramarzocchi.it")</f>
        <v>www.auroramarzocchi.it</v>
      </c>
      <c r="J384" s="7">
        <v>733.76499999999999</v>
      </c>
      <c r="K384" s="7">
        <v>733.76499999999999</v>
      </c>
      <c r="L384" s="8">
        <v>1135.001</v>
      </c>
      <c r="M384" s="7">
        <v>-13.352</v>
      </c>
      <c r="N384" s="7">
        <v>-13.352</v>
      </c>
      <c r="O384" s="7">
        <v>1.8720000000000001</v>
      </c>
      <c r="P384" s="9" t="s">
        <v>24</v>
      </c>
      <c r="Q384" s="9" t="s">
        <v>24</v>
      </c>
      <c r="R384" s="7">
        <v>10</v>
      </c>
    </row>
    <row r="385" spans="1:18" ht="17" customHeight="1" x14ac:dyDescent="0.2">
      <c r="A385" s="10" t="s">
        <v>1656</v>
      </c>
      <c r="B385" s="11" t="s">
        <v>1657</v>
      </c>
      <c r="C385" s="10" t="s">
        <v>1658</v>
      </c>
      <c r="D385" s="10" t="s">
        <v>1658</v>
      </c>
      <c r="E385" s="10" t="s">
        <v>1659</v>
      </c>
      <c r="F385" s="10" t="s">
        <v>29</v>
      </c>
      <c r="G385" s="10" t="s">
        <v>843</v>
      </c>
      <c r="H385" s="10" t="s">
        <v>299</v>
      </c>
      <c r="I385" s="10" t="str">
        <f>HYPERLINK("http://www.momoda.it/","www.momoda.it")</f>
        <v>www.momoda.it</v>
      </c>
      <c r="J385" s="12">
        <v>1279.0219999999999</v>
      </c>
      <c r="K385" s="12">
        <v>1279.0219999999999</v>
      </c>
      <c r="L385" s="12">
        <v>1134.271</v>
      </c>
      <c r="M385" s="12">
        <v>3.4289999999999998</v>
      </c>
      <c r="N385" s="12">
        <v>3.4289999999999998</v>
      </c>
      <c r="O385" s="12">
        <v>53.414000000000001</v>
      </c>
      <c r="P385" s="12">
        <v>7</v>
      </c>
      <c r="Q385" s="12">
        <v>7</v>
      </c>
      <c r="R385" s="12">
        <v>13</v>
      </c>
    </row>
    <row r="386" spans="1:18" ht="43" customHeight="1" x14ac:dyDescent="0.2">
      <c r="A386" s="5" t="s">
        <v>1660</v>
      </c>
      <c r="B386" s="6" t="s">
        <v>1661</v>
      </c>
      <c r="C386" s="5" t="s">
        <v>1662</v>
      </c>
      <c r="D386" s="5" t="s">
        <v>1662</v>
      </c>
      <c r="E386" s="5" t="s">
        <v>1663</v>
      </c>
      <c r="F386" s="5" t="s">
        <v>114</v>
      </c>
      <c r="G386" s="5" t="s">
        <v>1664</v>
      </c>
      <c r="H386" s="5" t="s">
        <v>525</v>
      </c>
      <c r="I386" s="5" t="str">
        <f>HYPERLINK("http://www.siciliaconfezioni.it/","www.siciliaconfezioni.it")</f>
        <v>www.siciliaconfezioni.it</v>
      </c>
      <c r="J386" s="7">
        <v>1524.26</v>
      </c>
      <c r="K386" s="7">
        <v>1524.26</v>
      </c>
      <c r="L386" s="8">
        <v>1133.99</v>
      </c>
      <c r="M386" s="7">
        <v>87.989000000000004</v>
      </c>
      <c r="N386" s="7">
        <v>87.989000000000004</v>
      </c>
      <c r="O386" s="7">
        <v>36.502000000000002</v>
      </c>
      <c r="P386" s="7">
        <v>30</v>
      </c>
      <c r="Q386" s="7">
        <v>30</v>
      </c>
      <c r="R386" s="7">
        <v>36</v>
      </c>
    </row>
    <row r="387" spans="1:18" ht="17" customHeight="1" x14ac:dyDescent="0.2">
      <c r="A387" s="10" t="s">
        <v>1665</v>
      </c>
      <c r="B387" s="11" t="s">
        <v>1666</v>
      </c>
      <c r="C387" s="10" t="s">
        <v>1667</v>
      </c>
      <c r="D387" s="10" t="s">
        <v>1667</v>
      </c>
      <c r="E387" s="10" t="s">
        <v>1668</v>
      </c>
      <c r="F387" s="10" t="s">
        <v>149</v>
      </c>
      <c r="G387" s="10" t="s">
        <v>1013</v>
      </c>
      <c r="H387" s="10" t="s">
        <v>43</v>
      </c>
      <c r="I387" s="10" t="str">
        <f>HYPERLINK("http://www.akronitalia.com/","www.akronitalia.com")</f>
        <v>www.akronitalia.com</v>
      </c>
      <c r="J387" s="12">
        <v>1215.1669999999999</v>
      </c>
      <c r="K387" s="12">
        <v>1215.1669999999999</v>
      </c>
      <c r="L387" s="12">
        <v>1133.8530000000001</v>
      </c>
      <c r="M387" s="12">
        <v>69.798000000000002</v>
      </c>
      <c r="N387" s="12">
        <v>69.798000000000002</v>
      </c>
      <c r="O387" s="12">
        <v>42.701000000000001</v>
      </c>
      <c r="P387" s="12">
        <v>0</v>
      </c>
      <c r="Q387" s="12">
        <v>0</v>
      </c>
      <c r="R387" s="12">
        <v>0</v>
      </c>
    </row>
    <row r="388" spans="1:18" ht="17" customHeight="1" x14ac:dyDescent="0.2">
      <c r="A388" s="5" t="s">
        <v>1669</v>
      </c>
      <c r="B388" s="6" t="s">
        <v>1670</v>
      </c>
      <c r="C388" s="5" t="s">
        <v>1671</v>
      </c>
      <c r="D388" s="5" t="s">
        <v>1671</v>
      </c>
      <c r="E388" s="5" t="s">
        <v>1672</v>
      </c>
      <c r="F388" s="5" t="s">
        <v>149</v>
      </c>
      <c r="G388" s="5" t="s">
        <v>547</v>
      </c>
      <c r="H388" s="5" t="s">
        <v>299</v>
      </c>
      <c r="I388" s="5" t="str">
        <f>HYPERLINK("http://www.luisamarialuglicostumidabagno.it/","www.luisamarialuglicostumidabagno.it")</f>
        <v>www.luisamarialuglicostumidabagno.it</v>
      </c>
      <c r="J388" s="7">
        <v>1159.921</v>
      </c>
      <c r="K388" s="7">
        <v>1159.921</v>
      </c>
      <c r="L388" s="8">
        <v>1131.5920000000001</v>
      </c>
      <c r="M388" s="7">
        <v>9.8640000000000008</v>
      </c>
      <c r="N388" s="7">
        <v>9.8640000000000008</v>
      </c>
      <c r="O388" s="7">
        <v>4.8360000000000003</v>
      </c>
      <c r="P388" s="7">
        <v>7</v>
      </c>
      <c r="Q388" s="7">
        <v>7</v>
      </c>
      <c r="R388" s="7">
        <v>12</v>
      </c>
    </row>
    <row r="389" spans="1:18" ht="29.5" customHeight="1" x14ac:dyDescent="0.2">
      <c r="A389" s="10" t="s">
        <v>1673</v>
      </c>
      <c r="B389" s="11" t="s">
        <v>1674</v>
      </c>
      <c r="C389" s="10" t="s">
        <v>1675</v>
      </c>
      <c r="D389" s="10" t="s">
        <v>1675</v>
      </c>
      <c r="E389" s="10" t="s">
        <v>1676</v>
      </c>
      <c r="F389" s="10" t="s">
        <v>48</v>
      </c>
      <c r="G389" s="10" t="s">
        <v>79</v>
      </c>
      <c r="H389" s="10" t="s">
        <v>56</v>
      </c>
      <c r="I389" s="10" t="str">
        <f>HYPERLINK("http://www.italianamanifatture.eu/","www.italianamanifatture.eu")</f>
        <v>www.italianamanifatture.eu</v>
      </c>
      <c r="J389" s="12">
        <v>1198.3979999999999</v>
      </c>
      <c r="K389" s="12">
        <v>1198.3979999999999</v>
      </c>
      <c r="L389" s="12">
        <v>1131.4749999999999</v>
      </c>
      <c r="M389" s="12">
        <v>73.197000000000003</v>
      </c>
      <c r="N389" s="12">
        <v>73.197000000000003</v>
      </c>
      <c r="O389" s="12">
        <v>32.777999999999999</v>
      </c>
      <c r="P389" s="13" t="s">
        <v>24</v>
      </c>
      <c r="Q389" s="13" t="s">
        <v>24</v>
      </c>
      <c r="R389" s="12">
        <v>15</v>
      </c>
    </row>
    <row r="390" spans="1:18" ht="17" customHeight="1" x14ac:dyDescent="0.2">
      <c r="A390" s="5" t="s">
        <v>1677</v>
      </c>
      <c r="B390" s="6" t="s">
        <v>1678</v>
      </c>
      <c r="C390" s="5" t="s">
        <v>1679</v>
      </c>
      <c r="D390" s="5" t="s">
        <v>1679</v>
      </c>
      <c r="E390" s="5" t="s">
        <v>1680</v>
      </c>
      <c r="F390" s="5" t="s">
        <v>482</v>
      </c>
      <c r="G390" s="5" t="s">
        <v>224</v>
      </c>
      <c r="H390" s="5" t="s">
        <v>23</v>
      </c>
      <c r="I390" s="5" t="str">
        <f>HYPERLINK("http://www.butipelletterie.com/","www.butipelletterie.com")</f>
        <v>www.butipelletterie.com</v>
      </c>
      <c r="J390" s="7">
        <v>1087.5039999999999</v>
      </c>
      <c r="K390" s="7">
        <v>1087.5039999999999</v>
      </c>
      <c r="L390" s="8">
        <v>1131.135</v>
      </c>
      <c r="M390" s="7">
        <v>5.7110000000000003</v>
      </c>
      <c r="N390" s="7">
        <v>5.7110000000000003</v>
      </c>
      <c r="O390" s="7">
        <v>-81.075999999999993</v>
      </c>
      <c r="P390" s="7">
        <v>18</v>
      </c>
      <c r="Q390" s="7">
        <v>18</v>
      </c>
      <c r="R390" s="7">
        <v>19</v>
      </c>
    </row>
    <row r="391" spans="1:18" ht="17" customHeight="1" x14ac:dyDescent="0.2">
      <c r="A391" s="10" t="s">
        <v>1681</v>
      </c>
      <c r="B391" s="11" t="s">
        <v>1682</v>
      </c>
      <c r="C391" s="10" t="s">
        <v>1683</v>
      </c>
      <c r="D391" s="10" t="s">
        <v>1683</v>
      </c>
      <c r="E391" s="10" t="s">
        <v>1684</v>
      </c>
      <c r="F391" s="10" t="s">
        <v>54</v>
      </c>
      <c r="G391" s="10" t="s">
        <v>1685</v>
      </c>
      <c r="H391" s="10" t="s">
        <v>43</v>
      </c>
      <c r="I391" s="10" t="str">
        <f>HYPERLINK("http://tomaificiotarga.it/","tomaificiotarga.it")</f>
        <v>tomaificiotarga.it</v>
      </c>
      <c r="J391" s="12">
        <v>1436.8309999999999</v>
      </c>
      <c r="K391" s="12">
        <v>1436.8309999999999</v>
      </c>
      <c r="L391" s="12">
        <v>1131.0070000000001</v>
      </c>
      <c r="M391" s="12">
        <v>0.59699999999999998</v>
      </c>
      <c r="N391" s="12">
        <v>0.59699999999999998</v>
      </c>
      <c r="O391" s="12">
        <v>6.056</v>
      </c>
      <c r="P391" s="12">
        <v>19</v>
      </c>
      <c r="Q391" s="12">
        <v>19</v>
      </c>
      <c r="R391" s="12">
        <v>19</v>
      </c>
    </row>
    <row r="392" spans="1:18" ht="17" customHeight="1" x14ac:dyDescent="0.2">
      <c r="A392" s="5" t="s">
        <v>1686</v>
      </c>
      <c r="B392" s="6" t="s">
        <v>1687</v>
      </c>
      <c r="C392" s="5" t="s">
        <v>1688</v>
      </c>
      <c r="D392" s="5" t="s">
        <v>1688</v>
      </c>
      <c r="E392" s="5" t="s">
        <v>1689</v>
      </c>
      <c r="F392" s="5" t="s">
        <v>54</v>
      </c>
      <c r="G392" s="5" t="s">
        <v>79</v>
      </c>
      <c r="H392" s="5" t="s">
        <v>56</v>
      </c>
      <c r="I392" s="5" t="str">
        <f>HYPERLINK("http://www.tranceriagiori.it/","www.tranceriagiori.it")</f>
        <v>www.tranceriagiori.it</v>
      </c>
      <c r="J392" s="7">
        <v>1228.547</v>
      </c>
      <c r="K392" s="7">
        <v>1228.547</v>
      </c>
      <c r="L392" s="8">
        <v>1130.877</v>
      </c>
      <c r="M392" s="7">
        <v>66.23</v>
      </c>
      <c r="N392" s="7">
        <v>66.23</v>
      </c>
      <c r="O392" s="7">
        <v>72.334000000000003</v>
      </c>
      <c r="P392" s="9" t="s">
        <v>24</v>
      </c>
      <c r="Q392" s="9" t="s">
        <v>24</v>
      </c>
      <c r="R392" s="7">
        <v>16</v>
      </c>
    </row>
    <row r="393" spans="1:18" ht="17" customHeight="1" x14ac:dyDescent="0.2">
      <c r="A393" s="10" t="s">
        <v>1690</v>
      </c>
      <c r="B393" s="11" t="s">
        <v>1691</v>
      </c>
      <c r="C393" s="10" t="s">
        <v>1692</v>
      </c>
      <c r="D393" s="10" t="s">
        <v>1692</v>
      </c>
      <c r="E393" s="10" t="s">
        <v>1693</v>
      </c>
      <c r="F393" s="10" t="s">
        <v>29</v>
      </c>
      <c r="G393" s="10" t="s">
        <v>135</v>
      </c>
      <c r="H393" s="10" t="s">
        <v>31</v>
      </c>
      <c r="I393" s="10" t="str">
        <f>HYPERLINK("http://www.lubello.com/","www.lubello.com")</f>
        <v>www.lubello.com</v>
      </c>
      <c r="J393" s="12">
        <v>1651.3119999999999</v>
      </c>
      <c r="K393" s="12">
        <v>1651.3119999999999</v>
      </c>
      <c r="L393" s="12">
        <v>1130.694</v>
      </c>
      <c r="M393" s="12">
        <v>39.515000000000001</v>
      </c>
      <c r="N393" s="12">
        <v>39.515000000000001</v>
      </c>
      <c r="O393" s="12">
        <v>24.93</v>
      </c>
      <c r="P393" s="12">
        <v>9</v>
      </c>
      <c r="Q393" s="12">
        <v>9</v>
      </c>
      <c r="R393" s="12">
        <v>9</v>
      </c>
    </row>
    <row r="394" spans="1:18" ht="17" customHeight="1" x14ac:dyDescent="0.2">
      <c r="A394" s="5" t="s">
        <v>1694</v>
      </c>
      <c r="B394" s="6" t="s">
        <v>1695</v>
      </c>
      <c r="C394" s="5" t="s">
        <v>1696</v>
      </c>
      <c r="D394" s="5" t="s">
        <v>1696</v>
      </c>
      <c r="E394" s="5" t="s">
        <v>1697</v>
      </c>
      <c r="F394" s="5" t="s">
        <v>114</v>
      </c>
      <c r="G394" s="5" t="s">
        <v>437</v>
      </c>
      <c r="H394" s="5" t="s">
        <v>407</v>
      </c>
      <c r="I394" s="5" t="str">
        <f>HYPERLINK("http://www.jeffed.it/","www.jeffed.it")</f>
        <v>www.jeffed.it</v>
      </c>
      <c r="J394" s="7">
        <v>1219.731</v>
      </c>
      <c r="K394" s="7">
        <v>1219.731</v>
      </c>
      <c r="L394" s="8">
        <v>1129.904</v>
      </c>
      <c r="M394" s="7">
        <v>2.66</v>
      </c>
      <c r="N394" s="7">
        <v>2.66</v>
      </c>
      <c r="O394" s="7">
        <v>0.219</v>
      </c>
      <c r="P394" s="9" t="s">
        <v>24</v>
      </c>
      <c r="Q394" s="9" t="s">
        <v>24</v>
      </c>
      <c r="R394" s="7">
        <v>26</v>
      </c>
    </row>
    <row r="395" spans="1:18" ht="17" customHeight="1" x14ac:dyDescent="0.2">
      <c r="A395" s="10" t="s">
        <v>1698</v>
      </c>
      <c r="B395" s="11" t="s">
        <v>1699</v>
      </c>
      <c r="C395" s="10" t="s">
        <v>1700</v>
      </c>
      <c r="D395" s="10" t="s">
        <v>1700</v>
      </c>
      <c r="E395" s="10" t="s">
        <v>1701</v>
      </c>
      <c r="F395" s="10" t="s">
        <v>29</v>
      </c>
      <c r="G395" s="10" t="s">
        <v>211</v>
      </c>
      <c r="H395" s="10" t="s">
        <v>74</v>
      </c>
      <c r="I395" s="10" t="str">
        <f>HYPERLINK("http://vichitalia.com/","vichitalia.com")</f>
        <v>vichitalia.com</v>
      </c>
      <c r="J395" s="12">
        <v>1130.874</v>
      </c>
      <c r="K395" s="12">
        <v>1130.874</v>
      </c>
      <c r="L395" s="12">
        <v>1129.1869999999999</v>
      </c>
      <c r="M395" s="12">
        <v>36.853000000000002</v>
      </c>
      <c r="N395" s="12">
        <v>36.853000000000002</v>
      </c>
      <c r="O395" s="12">
        <v>29.812000000000001</v>
      </c>
      <c r="P395" s="13" t="s">
        <v>24</v>
      </c>
      <c r="Q395" s="13" t="s">
        <v>24</v>
      </c>
      <c r="R395" s="12">
        <v>4</v>
      </c>
    </row>
    <row r="396" spans="1:18" ht="29.5" customHeight="1" x14ac:dyDescent="0.2">
      <c r="A396" s="5" t="s">
        <v>1702</v>
      </c>
      <c r="B396" s="6" t="s">
        <v>1703</v>
      </c>
      <c r="C396" s="5" t="s">
        <v>1704</v>
      </c>
      <c r="D396" s="5" t="s">
        <v>1704</v>
      </c>
      <c r="E396" s="5" t="s">
        <v>1705</v>
      </c>
      <c r="F396" s="5" t="s">
        <v>21</v>
      </c>
      <c r="G396" s="5" t="s">
        <v>274</v>
      </c>
      <c r="H396" s="5" t="s">
        <v>31</v>
      </c>
      <c r="I396" s="5" t="str">
        <f>HYPERLINK("http://www.vicodebramo.it/","www.vicodebramo.it")</f>
        <v>www.vicodebramo.it</v>
      </c>
      <c r="J396" s="7">
        <v>1294.348</v>
      </c>
      <c r="K396" s="7">
        <v>1294.348</v>
      </c>
      <c r="L396" s="8">
        <v>1127.329</v>
      </c>
      <c r="M396" s="7">
        <v>32.624000000000002</v>
      </c>
      <c r="N396" s="7">
        <v>32.624000000000002</v>
      </c>
      <c r="O396" s="7">
        <v>23.021000000000001</v>
      </c>
      <c r="P396" s="9" t="s">
        <v>24</v>
      </c>
      <c r="Q396" s="9" t="s">
        <v>24</v>
      </c>
      <c r="R396" s="7">
        <v>8</v>
      </c>
    </row>
    <row r="397" spans="1:18" ht="17" customHeight="1" x14ac:dyDescent="0.2">
      <c r="A397" s="10" t="s">
        <v>1706</v>
      </c>
      <c r="B397" s="11" t="s">
        <v>1707</v>
      </c>
      <c r="C397" s="10" t="s">
        <v>1708</v>
      </c>
      <c r="D397" s="10" t="s">
        <v>1708</v>
      </c>
      <c r="E397" s="10" t="s">
        <v>1709</v>
      </c>
      <c r="F397" s="10" t="s">
        <v>21</v>
      </c>
      <c r="G397" s="10" t="s">
        <v>274</v>
      </c>
      <c r="H397" s="10" t="s">
        <v>31</v>
      </c>
      <c r="I397" s="10" t="str">
        <f>HYPERLINK("http://www.cavallidoro.it/","www.cavallidoro.it")</f>
        <v>www.cavallidoro.it</v>
      </c>
      <c r="J397" s="12">
        <v>1065.7639999999999</v>
      </c>
      <c r="K397" s="12">
        <v>1065.7639999999999</v>
      </c>
      <c r="L397" s="12">
        <v>1126.886</v>
      </c>
      <c r="M397" s="12">
        <v>13.163</v>
      </c>
      <c r="N397" s="12">
        <v>13.163</v>
      </c>
      <c r="O397" s="12">
        <v>-84.269000000000005</v>
      </c>
      <c r="P397" s="12">
        <v>7</v>
      </c>
      <c r="Q397" s="12">
        <v>7</v>
      </c>
      <c r="R397" s="12">
        <v>8</v>
      </c>
    </row>
    <row r="398" spans="1:18" ht="17" customHeight="1" x14ac:dyDescent="0.2">
      <c r="A398" s="5" t="s">
        <v>1710</v>
      </c>
      <c r="B398" s="6" t="s">
        <v>1711</v>
      </c>
      <c r="C398" s="5" t="s">
        <v>1712</v>
      </c>
      <c r="D398" s="5" t="s">
        <v>1712</v>
      </c>
      <c r="E398" s="5" t="s">
        <v>1713</v>
      </c>
      <c r="F398" s="5" t="s">
        <v>114</v>
      </c>
      <c r="G398" s="5" t="s">
        <v>1131</v>
      </c>
      <c r="H398" s="5" t="s">
        <v>1132</v>
      </c>
      <c r="I398" s="5" t="str">
        <f>HYPERLINK("http://www.tessilnet.it/","www.tessilnet.it")</f>
        <v>www.tessilnet.it</v>
      </c>
      <c r="J398" s="7">
        <v>1107.596</v>
      </c>
      <c r="K398" s="7">
        <v>1107.596</v>
      </c>
      <c r="L398" s="8">
        <v>1126.528</v>
      </c>
      <c r="M398" s="7">
        <v>-69.730999999999995</v>
      </c>
      <c r="N398" s="7">
        <v>-69.730999999999995</v>
      </c>
      <c r="O398" s="7">
        <v>-28.902999999999999</v>
      </c>
      <c r="P398" s="7">
        <v>5</v>
      </c>
      <c r="Q398" s="7">
        <v>5</v>
      </c>
      <c r="R398" s="7">
        <v>5</v>
      </c>
    </row>
    <row r="399" spans="1:18" ht="29.5" customHeight="1" x14ac:dyDescent="0.2">
      <c r="A399" s="10" t="s">
        <v>1714</v>
      </c>
      <c r="B399" s="11" t="s">
        <v>1715</v>
      </c>
      <c r="C399" s="10" t="s">
        <v>1716</v>
      </c>
      <c r="D399" s="10" t="s">
        <v>1716</v>
      </c>
      <c r="E399" s="10" t="s">
        <v>1717</v>
      </c>
      <c r="F399" s="10" t="s">
        <v>54</v>
      </c>
      <c r="G399" s="10" t="s">
        <v>89</v>
      </c>
      <c r="H399" s="10" t="s">
        <v>56</v>
      </c>
      <c r="I399" s="10" t="str">
        <f>HYPERLINK("http://www.toplinesrl.it/","www.toplinesrl.it")</f>
        <v>www.toplinesrl.it</v>
      </c>
      <c r="J399" s="12">
        <v>1006.079</v>
      </c>
      <c r="K399" s="12">
        <v>1006.079</v>
      </c>
      <c r="L399" s="12">
        <v>1126.133</v>
      </c>
      <c r="M399" s="12">
        <v>2.3420000000000001</v>
      </c>
      <c r="N399" s="12">
        <v>2.3420000000000001</v>
      </c>
      <c r="O399" s="12">
        <v>-28.071999999999999</v>
      </c>
      <c r="P399" s="12">
        <v>16</v>
      </c>
      <c r="Q399" s="12">
        <v>16</v>
      </c>
      <c r="R399" s="12">
        <v>13</v>
      </c>
    </row>
    <row r="400" spans="1:18" ht="17" customHeight="1" x14ac:dyDescent="0.2">
      <c r="A400" s="5" t="s">
        <v>1718</v>
      </c>
      <c r="B400" s="6" t="s">
        <v>1719</v>
      </c>
      <c r="C400" s="5" t="s">
        <v>1720</v>
      </c>
      <c r="D400" s="5" t="s">
        <v>1720</v>
      </c>
      <c r="E400" s="5" t="s">
        <v>1721</v>
      </c>
      <c r="F400" s="5" t="s">
        <v>48</v>
      </c>
      <c r="G400" s="5" t="s">
        <v>234</v>
      </c>
      <c r="H400" s="5" t="s">
        <v>23</v>
      </c>
      <c r="I400" s="5" t="str">
        <f>HYPERLINK("http://www.toropelletterie.it/","www.toropelletterie.it")</f>
        <v>www.toropelletterie.it</v>
      </c>
      <c r="J400" s="7">
        <v>887.28099999999995</v>
      </c>
      <c r="K400" s="7">
        <v>887.28099999999995</v>
      </c>
      <c r="L400" s="8">
        <v>1126.0530000000001</v>
      </c>
      <c r="M400" s="7">
        <v>0.38700000000000001</v>
      </c>
      <c r="N400" s="7">
        <v>0.38700000000000001</v>
      </c>
      <c r="O400" s="7">
        <v>54.38</v>
      </c>
      <c r="P400" s="9" t="s">
        <v>24</v>
      </c>
      <c r="Q400" s="9" t="s">
        <v>24</v>
      </c>
      <c r="R400" s="7">
        <v>25</v>
      </c>
    </row>
    <row r="401" spans="1:18" ht="17" customHeight="1" x14ac:dyDescent="0.2">
      <c r="A401" s="10" t="s">
        <v>1722</v>
      </c>
      <c r="B401" s="11" t="s">
        <v>1723</v>
      </c>
      <c r="C401" s="10" t="s">
        <v>1724</v>
      </c>
      <c r="D401" s="10" t="s">
        <v>1724</v>
      </c>
      <c r="E401" s="10" t="s">
        <v>1725</v>
      </c>
      <c r="F401" s="10" t="s">
        <v>367</v>
      </c>
      <c r="G401" s="10" t="s">
        <v>89</v>
      </c>
      <c r="H401" s="10" t="s">
        <v>56</v>
      </c>
      <c r="I401" s="10" t="str">
        <f>HYPERLINK("http://www.tomasrl.it/","www.tomasrl.it")</f>
        <v>www.tomasrl.it</v>
      </c>
      <c r="J401" s="12">
        <v>1195.019</v>
      </c>
      <c r="K401" s="12">
        <v>1195.019</v>
      </c>
      <c r="L401" s="12">
        <v>1123.5630000000001</v>
      </c>
      <c r="M401" s="12">
        <v>17.012</v>
      </c>
      <c r="N401" s="12">
        <v>17.012</v>
      </c>
      <c r="O401" s="12">
        <v>19.276</v>
      </c>
      <c r="P401" s="12">
        <v>9</v>
      </c>
      <c r="Q401" s="12">
        <v>9</v>
      </c>
      <c r="R401" s="12">
        <v>9</v>
      </c>
    </row>
    <row r="402" spans="1:18" ht="17" customHeight="1" x14ac:dyDescent="0.2">
      <c r="A402" s="5" t="s">
        <v>1726</v>
      </c>
      <c r="B402" s="6" t="s">
        <v>1727</v>
      </c>
      <c r="C402" s="5" t="s">
        <v>1728</v>
      </c>
      <c r="D402" s="5" t="s">
        <v>1728</v>
      </c>
      <c r="E402" s="5" t="s">
        <v>1729</v>
      </c>
      <c r="F402" s="5" t="s">
        <v>114</v>
      </c>
      <c r="G402" s="5" t="s">
        <v>211</v>
      </c>
      <c r="H402" s="5" t="s">
        <v>74</v>
      </c>
      <c r="I402" s="5" t="str">
        <f>HYPERLINK("http://m.maglificiocamelia.it/","m.maglificiocamelia.it")</f>
        <v>m.maglificiocamelia.it</v>
      </c>
      <c r="J402" s="7">
        <v>1101.3240000000001</v>
      </c>
      <c r="K402" s="7">
        <v>1101.3240000000001</v>
      </c>
      <c r="L402" s="8">
        <v>1121.059</v>
      </c>
      <c r="M402" s="7">
        <v>8.1430000000000007</v>
      </c>
      <c r="N402" s="7">
        <v>8.1430000000000007</v>
      </c>
      <c r="O402" s="7">
        <v>11.739000000000001</v>
      </c>
      <c r="P402" s="7">
        <v>12</v>
      </c>
      <c r="Q402" s="7">
        <v>12</v>
      </c>
      <c r="R402" s="7">
        <v>10</v>
      </c>
    </row>
    <row r="403" spans="1:18" ht="17" customHeight="1" x14ac:dyDescent="0.2">
      <c r="A403" s="10" t="s">
        <v>1730</v>
      </c>
      <c r="B403" s="11" t="s">
        <v>1731</v>
      </c>
      <c r="C403" s="10" t="s">
        <v>1732</v>
      </c>
      <c r="D403" s="10" t="s">
        <v>1732</v>
      </c>
      <c r="E403" s="10" t="s">
        <v>1733</v>
      </c>
      <c r="F403" s="10" t="s">
        <v>29</v>
      </c>
      <c r="G403" s="10" t="s">
        <v>797</v>
      </c>
      <c r="H403" s="10" t="s">
        <v>299</v>
      </c>
      <c r="I403" s="10" t="str">
        <f>HYPERLINK("http://www.ellebi-abbigliamento.com/","www.ellebi-abbigliamento.com")</f>
        <v>www.ellebi-abbigliamento.com</v>
      </c>
      <c r="J403" s="12">
        <v>1214.8430000000001</v>
      </c>
      <c r="K403" s="12">
        <v>1214.8430000000001</v>
      </c>
      <c r="L403" s="12">
        <v>1119.107</v>
      </c>
      <c r="M403" s="12">
        <v>13.237</v>
      </c>
      <c r="N403" s="12">
        <v>13.237</v>
      </c>
      <c r="O403" s="12">
        <v>6.0229999999999997</v>
      </c>
      <c r="P403" s="12">
        <v>13</v>
      </c>
      <c r="Q403" s="12">
        <v>13</v>
      </c>
      <c r="R403" s="12">
        <v>13</v>
      </c>
    </row>
    <row r="404" spans="1:18" ht="29.5" customHeight="1" x14ac:dyDescent="0.2">
      <c r="A404" s="5" t="s">
        <v>1734</v>
      </c>
      <c r="B404" s="6" t="s">
        <v>1735</v>
      </c>
      <c r="C404" s="5" t="s">
        <v>1736</v>
      </c>
      <c r="D404" s="5" t="s">
        <v>1736</v>
      </c>
      <c r="E404" s="5" t="s">
        <v>1737</v>
      </c>
      <c r="F404" s="5" t="s">
        <v>21</v>
      </c>
      <c r="G404" s="5" t="s">
        <v>100</v>
      </c>
      <c r="H404" s="5" t="s">
        <v>62</v>
      </c>
      <c r="I404" s="5" t="str">
        <f>HYPERLINK("http://www.paolafiorenza.com/","www.paolafiorenza.com")</f>
        <v>www.paolafiorenza.com</v>
      </c>
      <c r="J404" s="7">
        <v>1376.085</v>
      </c>
      <c r="K404" s="7">
        <v>1376.085</v>
      </c>
      <c r="L404" s="8">
        <v>1117.6610000000001</v>
      </c>
      <c r="M404" s="7">
        <v>53.401000000000003</v>
      </c>
      <c r="N404" s="7">
        <v>53.401000000000003</v>
      </c>
      <c r="O404" s="7">
        <v>39.993000000000002</v>
      </c>
      <c r="P404" s="9" t="s">
        <v>24</v>
      </c>
      <c r="Q404" s="9" t="s">
        <v>24</v>
      </c>
      <c r="R404" s="7">
        <v>7</v>
      </c>
    </row>
    <row r="405" spans="1:18" ht="29.5" customHeight="1" x14ac:dyDescent="0.2">
      <c r="A405" s="10" t="s">
        <v>1738</v>
      </c>
      <c r="B405" s="11" t="s">
        <v>1739</v>
      </c>
      <c r="C405" s="10" t="s">
        <v>1740</v>
      </c>
      <c r="D405" s="10" t="s">
        <v>1741</v>
      </c>
      <c r="E405" s="10" t="s">
        <v>1742</v>
      </c>
      <c r="F405" s="10" t="s">
        <v>114</v>
      </c>
      <c r="G405" s="10" t="s">
        <v>73</v>
      </c>
      <c r="H405" s="10" t="s">
        <v>74</v>
      </c>
      <c r="I405" s="10" t="str">
        <f>HYPERLINK("http://www.gruppotessileabbigliamentomoda.it/","www.gruppotessileabbigliamentomoda.it")</f>
        <v>www.gruppotessileabbigliamentomoda.it</v>
      </c>
      <c r="J405" s="12">
        <v>1154.6880000000001</v>
      </c>
      <c r="K405" s="12">
        <v>1154.6880000000001</v>
      </c>
      <c r="L405" s="12">
        <v>1116.5840000000001</v>
      </c>
      <c r="M405" s="12">
        <v>-22.734000000000002</v>
      </c>
      <c r="N405" s="12">
        <v>-22.734000000000002</v>
      </c>
      <c r="O405" s="12">
        <v>60.478000000000002</v>
      </c>
      <c r="P405" s="12">
        <v>7</v>
      </c>
      <c r="Q405" s="12">
        <v>7</v>
      </c>
      <c r="R405" s="12">
        <v>7</v>
      </c>
    </row>
    <row r="406" spans="1:18" ht="29.5" customHeight="1" x14ac:dyDescent="0.2">
      <c r="A406" s="5" t="s">
        <v>1743</v>
      </c>
      <c r="B406" s="6" t="s">
        <v>1744</v>
      </c>
      <c r="C406" s="5" t="s">
        <v>1745</v>
      </c>
      <c r="D406" s="5" t="s">
        <v>1745</v>
      </c>
      <c r="E406" s="5" t="s">
        <v>1746</v>
      </c>
      <c r="F406" s="5" t="s">
        <v>21</v>
      </c>
      <c r="G406" s="5" t="s">
        <v>22</v>
      </c>
      <c r="H406" s="5" t="s">
        <v>23</v>
      </c>
      <c r="I406" s="5" t="str">
        <f>HYPERLINK("http://donna-toscana.it/","donna-toscana.it")</f>
        <v>donna-toscana.it</v>
      </c>
      <c r="J406" s="7">
        <v>1326.4690000000001</v>
      </c>
      <c r="K406" s="7">
        <v>1326.4690000000001</v>
      </c>
      <c r="L406" s="8">
        <v>1116.28</v>
      </c>
      <c r="M406" s="7">
        <v>46.052999999999997</v>
      </c>
      <c r="N406" s="7">
        <v>46.052999999999997</v>
      </c>
      <c r="O406" s="7">
        <v>34.247999999999998</v>
      </c>
      <c r="P406" s="9" t="s">
        <v>24</v>
      </c>
      <c r="Q406" s="9" t="s">
        <v>24</v>
      </c>
      <c r="R406" s="7">
        <v>14</v>
      </c>
    </row>
    <row r="407" spans="1:18" ht="17" customHeight="1" x14ac:dyDescent="0.2">
      <c r="A407" s="10" t="s">
        <v>1747</v>
      </c>
      <c r="B407" s="11" t="s">
        <v>1748</v>
      </c>
      <c r="C407" s="10" t="s">
        <v>1749</v>
      </c>
      <c r="D407" s="10" t="s">
        <v>1749</v>
      </c>
      <c r="E407" s="10" t="s">
        <v>1750</v>
      </c>
      <c r="F407" s="10" t="s">
        <v>99</v>
      </c>
      <c r="G407" s="10" t="s">
        <v>42</v>
      </c>
      <c r="H407" s="10" t="s">
        <v>43</v>
      </c>
      <c r="I407" s="10" t="str">
        <f>HYPERLINK("http://www.christia.com/","http://www.christia.com")</f>
        <v>http://www.christia.com</v>
      </c>
      <c r="J407" s="12">
        <v>1129.4659999999999</v>
      </c>
      <c r="K407" s="12">
        <v>1129.4659999999999</v>
      </c>
      <c r="L407" s="12">
        <v>1114.825</v>
      </c>
      <c r="M407" s="12">
        <v>-41.106000000000002</v>
      </c>
      <c r="N407" s="12">
        <v>-41.106000000000002</v>
      </c>
      <c r="O407" s="12">
        <v>1.3140000000000001</v>
      </c>
      <c r="P407" s="12">
        <v>3</v>
      </c>
      <c r="Q407" s="12">
        <v>3</v>
      </c>
      <c r="R407" s="12">
        <v>3</v>
      </c>
    </row>
    <row r="408" spans="1:18" ht="17" customHeight="1" x14ac:dyDescent="0.2">
      <c r="A408" s="5" t="s">
        <v>1751</v>
      </c>
      <c r="B408" s="6" t="s">
        <v>1752</v>
      </c>
      <c r="C408" s="5" t="s">
        <v>1753</v>
      </c>
      <c r="D408" s="5" t="s">
        <v>1753</v>
      </c>
      <c r="E408" s="5" t="s">
        <v>1754</v>
      </c>
      <c r="F408" s="5" t="s">
        <v>181</v>
      </c>
      <c r="G408" s="5" t="s">
        <v>298</v>
      </c>
      <c r="H408" s="5" t="s">
        <v>299</v>
      </c>
      <c r="I408" s="5" t="str">
        <f>HYPERLINK("http://www.evasrl.it/","www.evasrl.it")</f>
        <v>www.evasrl.it</v>
      </c>
      <c r="J408" s="7">
        <v>1115.8900000000001</v>
      </c>
      <c r="K408" s="7">
        <v>1115.8900000000001</v>
      </c>
      <c r="L408" s="8">
        <v>1114.1320000000001</v>
      </c>
      <c r="M408" s="7">
        <v>4.91</v>
      </c>
      <c r="N408" s="7">
        <v>4.91</v>
      </c>
      <c r="O408" s="7">
        <v>6.2119999999999997</v>
      </c>
      <c r="P408" s="7">
        <v>4</v>
      </c>
      <c r="Q408" s="7">
        <v>4</v>
      </c>
      <c r="R408" s="7">
        <v>4</v>
      </c>
    </row>
    <row r="409" spans="1:18" ht="17" customHeight="1" x14ac:dyDescent="0.2">
      <c r="A409" s="10" t="s">
        <v>1755</v>
      </c>
      <c r="B409" s="11" t="s">
        <v>1756</v>
      </c>
      <c r="C409" s="10" t="s">
        <v>1757</v>
      </c>
      <c r="D409" s="10" t="s">
        <v>1757</v>
      </c>
      <c r="E409" s="10" t="s">
        <v>1758</v>
      </c>
      <c r="F409" s="10" t="s">
        <v>462</v>
      </c>
      <c r="G409" s="10" t="s">
        <v>49</v>
      </c>
      <c r="H409" s="10" t="s">
        <v>23</v>
      </c>
      <c r="I409" s="10" t="str">
        <f>HYPERLINK("http://www.alexingh.com/","www.alexingh.com")</f>
        <v>www.alexingh.com</v>
      </c>
      <c r="J409" s="12">
        <v>1450.3389999999999</v>
      </c>
      <c r="K409" s="12">
        <v>1450.3389999999999</v>
      </c>
      <c r="L409" s="12">
        <v>1113.4190000000001</v>
      </c>
      <c r="M409" s="12">
        <v>19.184999999999999</v>
      </c>
      <c r="N409" s="12">
        <v>19.184999999999999</v>
      </c>
      <c r="O409" s="12">
        <v>-147.52699999999999</v>
      </c>
      <c r="P409" s="12">
        <v>7</v>
      </c>
      <c r="Q409" s="12">
        <v>7</v>
      </c>
      <c r="R409" s="12">
        <v>5</v>
      </c>
    </row>
    <row r="410" spans="1:18" ht="29.5" customHeight="1" x14ac:dyDescent="0.2">
      <c r="A410" s="5" t="s">
        <v>1759</v>
      </c>
      <c r="B410" s="6" t="s">
        <v>1760</v>
      </c>
      <c r="C410" s="5" t="s">
        <v>1761</v>
      </c>
      <c r="D410" s="5" t="s">
        <v>1761</v>
      </c>
      <c r="E410" s="5" t="s">
        <v>1762</v>
      </c>
      <c r="F410" s="5" t="s">
        <v>21</v>
      </c>
      <c r="G410" s="5" t="s">
        <v>89</v>
      </c>
      <c r="H410" s="5" t="s">
        <v>56</v>
      </c>
      <c r="I410" s="5" t="str">
        <f>HYPERLINK("http://www.openclosedshoes.com/","www.openclosedshoes.com")</f>
        <v>www.openclosedshoes.com</v>
      </c>
      <c r="J410" s="7">
        <v>1076.3040000000001</v>
      </c>
      <c r="K410" s="7">
        <v>1076.3040000000001</v>
      </c>
      <c r="L410" s="8">
        <v>1111.9829999999999</v>
      </c>
      <c r="M410" s="7">
        <v>1.1639999999999999</v>
      </c>
      <c r="N410" s="7">
        <v>1.1639999999999999</v>
      </c>
      <c r="O410" s="7">
        <v>17.146000000000001</v>
      </c>
      <c r="P410" s="7">
        <v>13</v>
      </c>
      <c r="Q410" s="7">
        <v>13</v>
      </c>
      <c r="R410" s="7">
        <v>12</v>
      </c>
    </row>
    <row r="411" spans="1:18" ht="17" customHeight="1" x14ac:dyDescent="0.2">
      <c r="A411" s="10" t="s">
        <v>1763</v>
      </c>
      <c r="B411" s="11" t="s">
        <v>1764</v>
      </c>
      <c r="C411" s="10" t="s">
        <v>1765</v>
      </c>
      <c r="D411" s="10" t="s">
        <v>1765</v>
      </c>
      <c r="E411" s="10" t="s">
        <v>1766</v>
      </c>
      <c r="F411" s="10" t="s">
        <v>54</v>
      </c>
      <c r="G411" s="10" t="s">
        <v>79</v>
      </c>
      <c r="H411" s="10" t="s">
        <v>56</v>
      </c>
      <c r="I411" s="10" t="str">
        <f>HYPERLINK("http://www.dettaglisrl.it/","www.dettaglisrl.it")</f>
        <v>www.dettaglisrl.it</v>
      </c>
      <c r="J411" s="12">
        <v>902.24300000000005</v>
      </c>
      <c r="K411" s="12">
        <v>902.24300000000005</v>
      </c>
      <c r="L411" s="12">
        <v>1111.702</v>
      </c>
      <c r="M411" s="12">
        <v>-95.537000000000006</v>
      </c>
      <c r="N411" s="12">
        <v>-95.537000000000006</v>
      </c>
      <c r="O411" s="12">
        <v>5.1100000000000003</v>
      </c>
      <c r="P411" s="13" t="s">
        <v>24</v>
      </c>
      <c r="Q411" s="13" t="s">
        <v>24</v>
      </c>
      <c r="R411" s="12">
        <v>11</v>
      </c>
    </row>
    <row r="412" spans="1:18" ht="17" customHeight="1" x14ac:dyDescent="0.2">
      <c r="A412" s="5" t="s">
        <v>1767</v>
      </c>
      <c r="B412" s="6" t="s">
        <v>1768</v>
      </c>
      <c r="C412" s="5" t="s">
        <v>1769</v>
      </c>
      <c r="D412" s="5" t="s">
        <v>1769</v>
      </c>
      <c r="E412" s="5" t="s">
        <v>1770</v>
      </c>
      <c r="F412" s="5" t="s">
        <v>48</v>
      </c>
      <c r="G412" s="5" t="s">
        <v>229</v>
      </c>
      <c r="H412" s="5" t="s">
        <v>31</v>
      </c>
      <c r="I412" s="5" t="str">
        <f>HYPERLINK("http://davidsrl.com/","davidsrl.com")</f>
        <v>davidsrl.com</v>
      </c>
      <c r="J412" s="7">
        <v>1367.825</v>
      </c>
      <c r="K412" s="7">
        <v>1367.825</v>
      </c>
      <c r="L412" s="8">
        <v>1111.6400000000001</v>
      </c>
      <c r="M412" s="7">
        <v>36.664999999999999</v>
      </c>
      <c r="N412" s="7">
        <v>36.664999999999999</v>
      </c>
      <c r="O412" s="7">
        <v>70.506</v>
      </c>
      <c r="P412" s="9" t="s">
        <v>24</v>
      </c>
      <c r="Q412" s="9" t="s">
        <v>24</v>
      </c>
      <c r="R412" s="7">
        <v>5</v>
      </c>
    </row>
    <row r="413" spans="1:18" ht="17" customHeight="1" x14ac:dyDescent="0.2">
      <c r="A413" s="10" t="s">
        <v>1771</v>
      </c>
      <c r="B413" s="11" t="s">
        <v>1772</v>
      </c>
      <c r="C413" s="10" t="s">
        <v>1773</v>
      </c>
      <c r="D413" s="10" t="s">
        <v>1773</v>
      </c>
      <c r="E413" s="10" t="s">
        <v>1774</v>
      </c>
      <c r="F413" s="10" t="s">
        <v>48</v>
      </c>
      <c r="G413" s="10" t="s">
        <v>94</v>
      </c>
      <c r="H413" s="10" t="s">
        <v>62</v>
      </c>
      <c r="I413" s="10" t="str">
        <f>HYPERLINK("http://www.namenu.it/","www.namenu.it")</f>
        <v>www.namenu.it</v>
      </c>
      <c r="J413" s="12">
        <v>1469.874</v>
      </c>
      <c r="K413" s="12">
        <v>1469.874</v>
      </c>
      <c r="L413" s="12">
        <v>1107.396</v>
      </c>
      <c r="M413" s="12">
        <v>16.71</v>
      </c>
      <c r="N413" s="12">
        <v>16.71</v>
      </c>
      <c r="O413" s="12">
        <v>8.0530000000000008</v>
      </c>
      <c r="P413" s="12">
        <v>21</v>
      </c>
      <c r="Q413" s="12">
        <v>21</v>
      </c>
      <c r="R413" s="12">
        <v>19</v>
      </c>
    </row>
    <row r="414" spans="1:18" ht="17" customHeight="1" x14ac:dyDescent="0.2">
      <c r="A414" s="5" t="s">
        <v>1775</v>
      </c>
      <c r="B414" s="6" t="s">
        <v>1776</v>
      </c>
      <c r="C414" s="5" t="s">
        <v>1777</v>
      </c>
      <c r="D414" s="5" t="s">
        <v>1777</v>
      </c>
      <c r="E414" s="5" t="s">
        <v>1778</v>
      </c>
      <c r="F414" s="5" t="s">
        <v>41</v>
      </c>
      <c r="G414" s="5" t="s">
        <v>42</v>
      </c>
      <c r="H414" s="5" t="s">
        <v>43</v>
      </c>
      <c r="I414" s="5" t="str">
        <f>HYPERLINK("http://www.maxcom-leather.net/","www.maxcom-leather.net")</f>
        <v>www.maxcom-leather.net</v>
      </c>
      <c r="J414" s="7">
        <v>1713.62</v>
      </c>
      <c r="K414" s="7">
        <v>1713.62</v>
      </c>
      <c r="L414" s="8">
        <v>1106.577</v>
      </c>
      <c r="M414" s="7">
        <v>54.701000000000001</v>
      </c>
      <c r="N414" s="7">
        <v>54.701000000000001</v>
      </c>
      <c r="O414" s="7">
        <v>1.022</v>
      </c>
      <c r="P414" s="7">
        <v>2</v>
      </c>
      <c r="Q414" s="7">
        <v>2</v>
      </c>
      <c r="R414" s="7">
        <v>2</v>
      </c>
    </row>
    <row r="415" spans="1:18" ht="17" customHeight="1" x14ac:dyDescent="0.2">
      <c r="A415" s="10" t="s">
        <v>1779</v>
      </c>
      <c r="B415" s="11" t="s">
        <v>1780</v>
      </c>
      <c r="C415" s="10" t="s">
        <v>1781</v>
      </c>
      <c r="D415" s="10" t="s">
        <v>1781</v>
      </c>
      <c r="E415" s="10" t="s">
        <v>1782</v>
      </c>
      <c r="F415" s="10" t="s">
        <v>367</v>
      </c>
      <c r="G415" s="10" t="s">
        <v>22</v>
      </c>
      <c r="H415" s="10" t="s">
        <v>23</v>
      </c>
      <c r="I415" s="10" t="str">
        <f>HYPERLINK("http://www.simaniindustrie.it/","www.simaniindustrie.it")</f>
        <v>www.simaniindustrie.it</v>
      </c>
      <c r="J415" s="12">
        <v>1006.489</v>
      </c>
      <c r="K415" s="12">
        <v>1006.489</v>
      </c>
      <c r="L415" s="12">
        <v>1104.354</v>
      </c>
      <c r="M415" s="12">
        <v>68.33</v>
      </c>
      <c r="N415" s="12">
        <v>68.33</v>
      </c>
      <c r="O415" s="12">
        <v>85.995999999999995</v>
      </c>
      <c r="P415" s="12">
        <v>13</v>
      </c>
      <c r="Q415" s="12">
        <v>13</v>
      </c>
      <c r="R415" s="12">
        <v>14</v>
      </c>
    </row>
    <row r="416" spans="1:18" ht="29.5" customHeight="1" x14ac:dyDescent="0.2">
      <c r="A416" s="5" t="s">
        <v>1783</v>
      </c>
      <c r="B416" s="6" t="s">
        <v>1784</v>
      </c>
      <c r="C416" s="5" t="s">
        <v>1785</v>
      </c>
      <c r="D416" s="5" t="s">
        <v>1785</v>
      </c>
      <c r="E416" s="5" t="s">
        <v>1786</v>
      </c>
      <c r="F416" s="5" t="s">
        <v>134</v>
      </c>
      <c r="G416" s="5" t="s">
        <v>67</v>
      </c>
      <c r="H416" s="5" t="s">
        <v>43</v>
      </c>
      <c r="I416" s="5" t="str">
        <f>HYPERLINK("http://geoffreybsmall.net/","geoffreybsmall.net")</f>
        <v>geoffreybsmall.net</v>
      </c>
      <c r="J416" s="7">
        <v>1317.7360000000001</v>
      </c>
      <c r="K416" s="7">
        <v>1317.7360000000001</v>
      </c>
      <c r="L416" s="8">
        <v>1103.9639999999999</v>
      </c>
      <c r="M416" s="7">
        <v>13.179</v>
      </c>
      <c r="N416" s="7">
        <v>13.179</v>
      </c>
      <c r="O416" s="7">
        <v>20.03</v>
      </c>
      <c r="P416" s="7">
        <v>21</v>
      </c>
      <c r="Q416" s="7">
        <v>21</v>
      </c>
      <c r="R416" s="7">
        <v>21</v>
      </c>
    </row>
    <row r="417" spans="1:18" ht="17" customHeight="1" x14ac:dyDescent="0.2">
      <c r="A417" s="10" t="s">
        <v>1787</v>
      </c>
      <c r="B417" s="11" t="s">
        <v>1788</v>
      </c>
      <c r="C417" s="10" t="s">
        <v>1789</v>
      </c>
      <c r="D417" s="10" t="s">
        <v>1789</v>
      </c>
      <c r="E417" s="10" t="s">
        <v>1790</v>
      </c>
      <c r="F417" s="10" t="s">
        <v>105</v>
      </c>
      <c r="G417" s="10" t="s">
        <v>283</v>
      </c>
      <c r="H417" s="10" t="s">
        <v>74</v>
      </c>
      <c r="I417" s="10" t="str">
        <f>HYPERLINK("http://nicolinisilvana.com/","nicolinisilvana.com")</f>
        <v>nicolinisilvana.com</v>
      </c>
      <c r="J417" s="12">
        <v>866.90599999999995</v>
      </c>
      <c r="K417" s="12">
        <v>866.90599999999995</v>
      </c>
      <c r="L417" s="12">
        <v>1103.9079999999999</v>
      </c>
      <c r="M417" s="12">
        <v>-390.43</v>
      </c>
      <c r="N417" s="12">
        <v>-390.43</v>
      </c>
      <c r="O417" s="12">
        <v>-255.87200000000001</v>
      </c>
      <c r="P417" s="12">
        <v>13</v>
      </c>
      <c r="Q417" s="12">
        <v>13</v>
      </c>
      <c r="R417" s="12">
        <v>16</v>
      </c>
    </row>
    <row r="418" spans="1:18" ht="17" customHeight="1" x14ac:dyDescent="0.2">
      <c r="A418" s="5" t="s">
        <v>1791</v>
      </c>
      <c r="B418" s="6" t="s">
        <v>1792</v>
      </c>
      <c r="C418" s="5" t="s">
        <v>1793</v>
      </c>
      <c r="D418" s="5" t="s">
        <v>1793</v>
      </c>
      <c r="E418" s="5" t="s">
        <v>1794</v>
      </c>
      <c r="F418" s="5" t="s">
        <v>29</v>
      </c>
      <c r="G418" s="5" t="s">
        <v>298</v>
      </c>
      <c r="H418" s="5" t="s">
        <v>299</v>
      </c>
      <c r="I418" s="5" t="str">
        <f>HYPERLINK("http://www.victoriac.it/","www.victoriac.it")</f>
        <v>www.victoriac.it</v>
      </c>
      <c r="J418" s="7">
        <v>816.79100000000005</v>
      </c>
      <c r="K418" s="7">
        <v>816.79100000000005</v>
      </c>
      <c r="L418" s="8">
        <v>1101.3820000000001</v>
      </c>
      <c r="M418" s="7">
        <v>1.29</v>
      </c>
      <c r="N418" s="7">
        <v>1.29</v>
      </c>
      <c r="O418" s="7">
        <v>1.712</v>
      </c>
      <c r="P418" s="7">
        <v>1</v>
      </c>
      <c r="Q418" s="7">
        <v>1</v>
      </c>
      <c r="R418" s="7">
        <v>3</v>
      </c>
    </row>
    <row r="419" spans="1:18" ht="17" customHeight="1" x14ac:dyDescent="0.2">
      <c r="A419" s="10" t="s">
        <v>1795</v>
      </c>
      <c r="B419" s="11" t="s">
        <v>1796</v>
      </c>
      <c r="C419" s="10" t="s">
        <v>1797</v>
      </c>
      <c r="D419" s="10" t="s">
        <v>1797</v>
      </c>
      <c r="E419" s="10" t="s">
        <v>1798</v>
      </c>
      <c r="F419" s="10" t="s">
        <v>105</v>
      </c>
      <c r="G419" s="10" t="s">
        <v>253</v>
      </c>
      <c r="H419" s="10" t="s">
        <v>56</v>
      </c>
      <c r="I419" s="10" t="str">
        <f>HYPERLINK("http://www.wirehandmade.it/","www.wirehandmade.it")</f>
        <v>www.wirehandmade.it</v>
      </c>
      <c r="J419" s="12">
        <v>1388.0640000000001</v>
      </c>
      <c r="K419" s="12">
        <v>1388.0640000000001</v>
      </c>
      <c r="L419" s="12">
        <v>1099.4110000000001</v>
      </c>
      <c r="M419" s="12">
        <v>3.2759999999999998</v>
      </c>
      <c r="N419" s="12">
        <v>3.2759999999999998</v>
      </c>
      <c r="O419" s="12">
        <v>0.46600000000000003</v>
      </c>
      <c r="P419" s="12">
        <v>16</v>
      </c>
      <c r="Q419" s="12">
        <v>16</v>
      </c>
      <c r="R419" s="12">
        <v>15</v>
      </c>
    </row>
    <row r="420" spans="1:18" ht="17" customHeight="1" x14ac:dyDescent="0.2">
      <c r="A420" s="5" t="s">
        <v>1799</v>
      </c>
      <c r="B420" s="6" t="s">
        <v>1800</v>
      </c>
      <c r="C420" s="5" t="s">
        <v>1801</v>
      </c>
      <c r="D420" s="5" t="s">
        <v>1801</v>
      </c>
      <c r="E420" s="5" t="s">
        <v>1802</v>
      </c>
      <c r="F420" s="5" t="s">
        <v>48</v>
      </c>
      <c r="G420" s="5" t="s">
        <v>224</v>
      </c>
      <c r="H420" s="5" t="s">
        <v>23</v>
      </c>
      <c r="I420" s="5" t="str">
        <f>HYPERLINK("http://westernbull.com/","westernbull.com")</f>
        <v>westernbull.com</v>
      </c>
      <c r="J420" s="7">
        <v>1209.6949999999999</v>
      </c>
      <c r="K420" s="7">
        <v>1209.6949999999999</v>
      </c>
      <c r="L420" s="8">
        <v>1099.085</v>
      </c>
      <c r="M420" s="7">
        <v>88.558000000000007</v>
      </c>
      <c r="N420" s="7">
        <v>88.558000000000007</v>
      </c>
      <c r="O420" s="7">
        <v>117.051</v>
      </c>
      <c r="P420" s="9" t="s">
        <v>24</v>
      </c>
      <c r="Q420" s="9" t="s">
        <v>24</v>
      </c>
      <c r="R420" s="7">
        <v>9</v>
      </c>
    </row>
    <row r="421" spans="1:18" ht="17" customHeight="1" x14ac:dyDescent="0.2">
      <c r="A421" s="10" t="s">
        <v>1803</v>
      </c>
      <c r="B421" s="11" t="s">
        <v>1804</v>
      </c>
      <c r="C421" s="10" t="s">
        <v>1805</v>
      </c>
      <c r="D421" s="10" t="s">
        <v>1805</v>
      </c>
      <c r="E421" s="10" t="s">
        <v>1806</v>
      </c>
      <c r="F421" s="10" t="s">
        <v>29</v>
      </c>
      <c r="G421" s="10" t="s">
        <v>158</v>
      </c>
      <c r="H421" s="10" t="s">
        <v>159</v>
      </c>
      <c r="I421" s="10" t="str">
        <f>HYPERLINK("http://www.jollymanifatture.it/","www.jollymanifatture.it")</f>
        <v>www.jollymanifatture.it</v>
      </c>
      <c r="J421" s="12">
        <v>1138.4179999999999</v>
      </c>
      <c r="K421" s="12">
        <v>1138.4179999999999</v>
      </c>
      <c r="L421" s="12">
        <v>1098.1110000000001</v>
      </c>
      <c r="M421" s="12">
        <v>257.01100000000002</v>
      </c>
      <c r="N421" s="12">
        <v>257.01100000000002</v>
      </c>
      <c r="O421" s="12">
        <v>278.846</v>
      </c>
      <c r="P421" s="12">
        <v>16</v>
      </c>
      <c r="Q421" s="12">
        <v>16</v>
      </c>
      <c r="R421" s="12">
        <v>17</v>
      </c>
    </row>
    <row r="422" spans="1:18" ht="29.5" customHeight="1" x14ac:dyDescent="0.2">
      <c r="A422" s="5" t="s">
        <v>1807</v>
      </c>
      <c r="B422" s="6" t="s">
        <v>1808</v>
      </c>
      <c r="C422" s="5" t="s">
        <v>1809</v>
      </c>
      <c r="D422" s="5" t="s">
        <v>1809</v>
      </c>
      <c r="E422" s="5" t="s">
        <v>1810</v>
      </c>
      <c r="F422" s="5" t="s">
        <v>21</v>
      </c>
      <c r="G422" s="5" t="s">
        <v>79</v>
      </c>
      <c r="H422" s="5" t="s">
        <v>56</v>
      </c>
      <c r="I422" s="5" t="str">
        <f>HYPERLINK("http://www.maliziosa.net/","www.maliziosa.net")</f>
        <v>www.maliziosa.net</v>
      </c>
      <c r="J422" s="7">
        <v>1270.4490000000001</v>
      </c>
      <c r="K422" s="7">
        <v>1270.4490000000001</v>
      </c>
      <c r="L422" s="8">
        <v>1097.4860000000001</v>
      </c>
      <c r="M422" s="7">
        <v>35.146999999999998</v>
      </c>
      <c r="N422" s="7">
        <v>35.146999999999998</v>
      </c>
      <c r="O422" s="7">
        <v>-1.8680000000000001</v>
      </c>
      <c r="P422" s="7">
        <v>16</v>
      </c>
      <c r="Q422" s="7">
        <v>16</v>
      </c>
      <c r="R422" s="7">
        <v>19</v>
      </c>
    </row>
    <row r="423" spans="1:18" ht="17" customHeight="1" x14ac:dyDescent="0.2">
      <c r="A423" s="10" t="s">
        <v>1811</v>
      </c>
      <c r="B423" s="11" t="s">
        <v>1812</v>
      </c>
      <c r="C423" s="10" t="s">
        <v>1813</v>
      </c>
      <c r="D423" s="10" t="s">
        <v>1813</v>
      </c>
      <c r="E423" s="10" t="s">
        <v>1814</v>
      </c>
      <c r="F423" s="10" t="s">
        <v>482</v>
      </c>
      <c r="G423" s="10" t="s">
        <v>298</v>
      </c>
      <c r="H423" s="10" t="s">
        <v>299</v>
      </c>
      <c r="I423" s="10" t="str">
        <f>HYPERLINK("http://beltramipelletteria.it/","beltramipelletteria.it")</f>
        <v>beltramipelletteria.it</v>
      </c>
      <c r="J423" s="12">
        <v>736.95500000000004</v>
      </c>
      <c r="K423" s="12">
        <v>736.95500000000004</v>
      </c>
      <c r="L423" s="12">
        <v>1097.5260000000001</v>
      </c>
      <c r="M423" s="12">
        <v>-271.60599999999999</v>
      </c>
      <c r="N423" s="12">
        <v>-271.60599999999999</v>
      </c>
      <c r="O423" s="12">
        <v>10.369</v>
      </c>
      <c r="P423" s="13" t="s">
        <v>24</v>
      </c>
      <c r="Q423" s="13" t="s">
        <v>24</v>
      </c>
      <c r="R423" s="12">
        <v>17</v>
      </c>
    </row>
    <row r="424" spans="1:18" ht="17" customHeight="1" x14ac:dyDescent="0.2">
      <c r="A424" s="5" t="s">
        <v>1815</v>
      </c>
      <c r="B424" s="6" t="s">
        <v>1816</v>
      </c>
      <c r="C424" s="5" t="s">
        <v>1817</v>
      </c>
      <c r="D424" s="5" t="s">
        <v>1817</v>
      </c>
      <c r="E424" s="5" t="s">
        <v>1818</v>
      </c>
      <c r="F424" s="5" t="s">
        <v>48</v>
      </c>
      <c r="G424" s="5" t="s">
        <v>49</v>
      </c>
      <c r="H424" s="5" t="s">
        <v>23</v>
      </c>
      <c r="I424" s="5" t="str">
        <f>HYPERLINK("http://www.corium-creazioni.it/","www.corium-creazioni.it")</f>
        <v>www.corium-creazioni.it</v>
      </c>
      <c r="J424" s="7">
        <v>1059.6120000000001</v>
      </c>
      <c r="K424" s="7">
        <v>1059.6120000000001</v>
      </c>
      <c r="L424" s="8">
        <v>1097.087</v>
      </c>
      <c r="M424" s="7">
        <v>20.850999999999999</v>
      </c>
      <c r="N424" s="7">
        <v>20.850999999999999</v>
      </c>
      <c r="O424" s="7">
        <v>23.128</v>
      </c>
      <c r="P424" s="9" t="s">
        <v>24</v>
      </c>
      <c r="Q424" s="9" t="s">
        <v>24</v>
      </c>
      <c r="R424" s="7">
        <v>9</v>
      </c>
    </row>
    <row r="425" spans="1:18" ht="17" customHeight="1" x14ac:dyDescent="0.2">
      <c r="A425" s="10" t="s">
        <v>1819</v>
      </c>
      <c r="B425" s="11" t="s">
        <v>1820</v>
      </c>
      <c r="C425" s="10" t="s">
        <v>1821</v>
      </c>
      <c r="D425" s="10" t="s">
        <v>1821</v>
      </c>
      <c r="E425" s="10" t="s">
        <v>1822</v>
      </c>
      <c r="F425" s="10" t="s">
        <v>114</v>
      </c>
      <c r="G425" s="10" t="s">
        <v>437</v>
      </c>
      <c r="H425" s="10" t="s">
        <v>407</v>
      </c>
      <c r="I425" s="10" t="str">
        <f>HYPERLINK("http://www.magiconf.com/","www.magiconf.com")</f>
        <v>www.magiconf.com</v>
      </c>
      <c r="J425" s="12">
        <v>1214.075</v>
      </c>
      <c r="K425" s="12">
        <v>1214.075</v>
      </c>
      <c r="L425" s="12">
        <v>1096.4770000000001</v>
      </c>
      <c r="M425" s="12">
        <v>16.689</v>
      </c>
      <c r="N425" s="12">
        <v>16.689</v>
      </c>
      <c r="O425" s="12">
        <v>11.885999999999999</v>
      </c>
      <c r="P425" s="12">
        <v>0</v>
      </c>
      <c r="Q425" s="12">
        <v>0</v>
      </c>
      <c r="R425" s="12">
        <v>0</v>
      </c>
    </row>
    <row r="426" spans="1:18" ht="17" customHeight="1" x14ac:dyDescent="0.2">
      <c r="A426" s="5" t="s">
        <v>1823</v>
      </c>
      <c r="B426" s="6" t="s">
        <v>1824</v>
      </c>
      <c r="C426" s="5" t="s">
        <v>1825</v>
      </c>
      <c r="D426" s="5" t="s">
        <v>1825</v>
      </c>
      <c r="E426" s="5" t="s">
        <v>1826</v>
      </c>
      <c r="F426" s="5" t="s">
        <v>114</v>
      </c>
      <c r="G426" s="5" t="s">
        <v>190</v>
      </c>
      <c r="H426" s="5" t="s">
        <v>74</v>
      </c>
      <c r="I426" s="5" t="str">
        <f>HYPERLINK("http://en.plena.it/","en.plena.it")</f>
        <v>en.plena.it</v>
      </c>
      <c r="J426" s="7">
        <v>1223.0250000000001</v>
      </c>
      <c r="K426" s="7">
        <v>1223.0250000000001</v>
      </c>
      <c r="L426" s="8">
        <v>1095.9690000000001</v>
      </c>
      <c r="M426" s="7">
        <v>-60.585000000000001</v>
      </c>
      <c r="N426" s="7">
        <v>-60.585000000000001</v>
      </c>
      <c r="O426" s="7">
        <v>38.716999999999999</v>
      </c>
      <c r="P426" s="7">
        <v>12</v>
      </c>
      <c r="Q426" s="7">
        <v>12</v>
      </c>
      <c r="R426" s="7">
        <v>11</v>
      </c>
    </row>
    <row r="427" spans="1:18" ht="17" customHeight="1" x14ac:dyDescent="0.2">
      <c r="A427" s="10" t="s">
        <v>1827</v>
      </c>
      <c r="B427" s="11" t="s">
        <v>1828</v>
      </c>
      <c r="C427" s="10" t="s">
        <v>1829</v>
      </c>
      <c r="D427" s="10" t="s">
        <v>1829</v>
      </c>
      <c r="E427" s="10" t="s">
        <v>1830</v>
      </c>
      <c r="F427" s="10" t="s">
        <v>149</v>
      </c>
      <c r="G427" s="10" t="s">
        <v>190</v>
      </c>
      <c r="H427" s="10" t="s">
        <v>74</v>
      </c>
      <c r="I427" s="10" t="str">
        <f>HYPERLINK("http://www.malvi.net/","www.malvi.net")</f>
        <v>www.malvi.net</v>
      </c>
      <c r="J427" s="12">
        <v>1037.367</v>
      </c>
      <c r="K427" s="12">
        <v>1037.367</v>
      </c>
      <c r="L427" s="12">
        <v>1095.5640000000001</v>
      </c>
      <c r="M427" s="12">
        <v>7.8470000000000004</v>
      </c>
      <c r="N427" s="12">
        <v>7.8470000000000004</v>
      </c>
      <c r="O427" s="12">
        <v>5.2089999999999996</v>
      </c>
      <c r="P427" s="12">
        <v>4</v>
      </c>
      <c r="Q427" s="12">
        <v>4</v>
      </c>
      <c r="R427" s="12">
        <v>6</v>
      </c>
    </row>
    <row r="428" spans="1:18" ht="29.5" customHeight="1" x14ac:dyDescent="0.2">
      <c r="A428" s="5" t="s">
        <v>1831</v>
      </c>
      <c r="B428" s="6" t="s">
        <v>1832</v>
      </c>
      <c r="C428" s="5" t="s">
        <v>1833</v>
      </c>
      <c r="D428" s="5" t="s">
        <v>1833</v>
      </c>
      <c r="E428" s="5" t="s">
        <v>1834</v>
      </c>
      <c r="F428" s="5" t="s">
        <v>21</v>
      </c>
      <c r="G428" s="5" t="s">
        <v>67</v>
      </c>
      <c r="H428" s="5" t="s">
        <v>43</v>
      </c>
      <c r="I428" s="5" t="str">
        <f>HYPERLINK("http://eternigroup.it/","eternigroup.it")</f>
        <v>eternigroup.it</v>
      </c>
      <c r="J428" s="7">
        <v>1856.1489999999999</v>
      </c>
      <c r="K428" s="7">
        <v>1856.1489999999999</v>
      </c>
      <c r="L428" s="8">
        <v>1094.366</v>
      </c>
      <c r="M428" s="7">
        <v>74.004000000000005</v>
      </c>
      <c r="N428" s="7">
        <v>74.004000000000005</v>
      </c>
      <c r="O428" s="7">
        <v>34.244999999999997</v>
      </c>
      <c r="P428" s="9" t="s">
        <v>24</v>
      </c>
      <c r="Q428" s="9" t="s">
        <v>24</v>
      </c>
      <c r="R428" s="7">
        <v>15</v>
      </c>
    </row>
    <row r="429" spans="1:18" ht="17" customHeight="1" x14ac:dyDescent="0.2">
      <c r="A429" s="10" t="s">
        <v>1835</v>
      </c>
      <c r="B429" s="11" t="s">
        <v>1836</v>
      </c>
      <c r="C429" s="10" t="s">
        <v>1837</v>
      </c>
      <c r="D429" s="10" t="s">
        <v>1837</v>
      </c>
      <c r="E429" s="10" t="s">
        <v>1838</v>
      </c>
      <c r="F429" s="10" t="s">
        <v>114</v>
      </c>
      <c r="G429" s="10" t="s">
        <v>100</v>
      </c>
      <c r="H429" s="10" t="s">
        <v>62</v>
      </c>
      <c r="I429" s="10" t="str">
        <f>HYPERLINK("http://www.marilumoda.com/","www.marilumoda.com")</f>
        <v>www.marilumoda.com</v>
      </c>
      <c r="J429" s="12">
        <v>1380.4380000000001</v>
      </c>
      <c r="K429" s="12">
        <v>1380.4380000000001</v>
      </c>
      <c r="L429" s="12">
        <v>1093.423</v>
      </c>
      <c r="M429" s="12">
        <v>109.417</v>
      </c>
      <c r="N429" s="12">
        <v>109.417</v>
      </c>
      <c r="O429" s="12">
        <v>62.131999999999998</v>
      </c>
      <c r="P429" s="12">
        <v>12</v>
      </c>
      <c r="Q429" s="12">
        <v>12</v>
      </c>
      <c r="R429" s="12">
        <v>18</v>
      </c>
    </row>
    <row r="430" spans="1:18" ht="43" customHeight="1" x14ac:dyDescent="0.2">
      <c r="A430" s="5" t="s">
        <v>1839</v>
      </c>
      <c r="B430" s="6" t="s">
        <v>1840</v>
      </c>
      <c r="C430" s="5" t="s">
        <v>1841</v>
      </c>
      <c r="D430" s="5" t="s">
        <v>1842</v>
      </c>
      <c r="E430" s="5" t="s">
        <v>1843</v>
      </c>
      <c r="F430" s="5" t="s">
        <v>105</v>
      </c>
      <c r="G430" s="5" t="s">
        <v>1210</v>
      </c>
      <c r="H430" s="5" t="s">
        <v>1132</v>
      </c>
      <c r="I430" s="5" t="str">
        <f>HYPERLINK("http://www.laboratoriopieroni.it/","www.laboratoriopieroni.it")</f>
        <v>www.laboratoriopieroni.it</v>
      </c>
      <c r="J430" s="7">
        <v>962.09799999999996</v>
      </c>
      <c r="K430" s="7">
        <v>962.09799999999996</v>
      </c>
      <c r="L430" s="8">
        <v>1091.9860000000001</v>
      </c>
      <c r="M430" s="7">
        <v>60.914999999999999</v>
      </c>
      <c r="N430" s="7">
        <v>60.914999999999999</v>
      </c>
      <c r="O430" s="7">
        <v>170.89</v>
      </c>
      <c r="P430" s="7">
        <v>21</v>
      </c>
      <c r="Q430" s="7">
        <v>21</v>
      </c>
      <c r="R430" s="7">
        <v>10</v>
      </c>
    </row>
    <row r="431" spans="1:18" ht="17" customHeight="1" x14ac:dyDescent="0.2">
      <c r="A431" s="10" t="s">
        <v>1844</v>
      </c>
      <c r="B431" s="11" t="s">
        <v>1845</v>
      </c>
      <c r="C431" s="10" t="s">
        <v>1846</v>
      </c>
      <c r="D431" s="10" t="s">
        <v>1846</v>
      </c>
      <c r="E431" s="10" t="s">
        <v>1847</v>
      </c>
      <c r="F431" s="10" t="s">
        <v>181</v>
      </c>
      <c r="G431" s="10" t="s">
        <v>298</v>
      </c>
      <c r="H431" s="10" t="s">
        <v>299</v>
      </c>
      <c r="I431" s="10" t="str">
        <f>HYPERLINK("http://www.dennyrose.it/","www.dennyrose.it")</f>
        <v>www.dennyrose.it</v>
      </c>
      <c r="J431" s="12">
        <v>761.73599999999999</v>
      </c>
      <c r="K431" s="12">
        <v>761.73599999999999</v>
      </c>
      <c r="L431" s="12">
        <v>1091.999</v>
      </c>
      <c r="M431" s="12">
        <v>-202.60900000000001</v>
      </c>
      <c r="N431" s="12">
        <v>-202.60900000000001</v>
      </c>
      <c r="O431" s="12">
        <v>-608.48099999999999</v>
      </c>
      <c r="P431" s="12">
        <v>8</v>
      </c>
      <c r="Q431" s="12">
        <v>8</v>
      </c>
      <c r="R431" s="12">
        <v>7</v>
      </c>
    </row>
    <row r="432" spans="1:18" ht="17" customHeight="1" x14ac:dyDescent="0.2">
      <c r="A432" s="5" t="s">
        <v>1848</v>
      </c>
      <c r="B432" s="6" t="s">
        <v>1849</v>
      </c>
      <c r="C432" s="5" t="s">
        <v>1850</v>
      </c>
      <c r="D432" s="5" t="s">
        <v>1850</v>
      </c>
      <c r="E432" s="5" t="s">
        <v>1851</v>
      </c>
      <c r="F432" s="5" t="s">
        <v>29</v>
      </c>
      <c r="G432" s="5" t="s">
        <v>67</v>
      </c>
      <c r="H432" s="5" t="s">
        <v>43</v>
      </c>
      <c r="I432" s="5" t="str">
        <f>HYPERLINK("http://www.sculturemodadonna.it/","www.sculturemodadonna.it")</f>
        <v>www.sculturemodadonna.it</v>
      </c>
      <c r="J432" s="7">
        <v>1285.184</v>
      </c>
      <c r="K432" s="7">
        <v>1285.184</v>
      </c>
      <c r="L432" s="8">
        <v>1091.857</v>
      </c>
      <c r="M432" s="7">
        <v>20.234999999999999</v>
      </c>
      <c r="N432" s="7">
        <v>20.234999999999999</v>
      </c>
      <c r="O432" s="7">
        <v>6.0609999999999999</v>
      </c>
      <c r="P432" s="9" t="s">
        <v>24</v>
      </c>
      <c r="Q432" s="9" t="s">
        <v>24</v>
      </c>
      <c r="R432" s="7">
        <v>1</v>
      </c>
    </row>
    <row r="433" spans="1:18" ht="17" customHeight="1" x14ac:dyDescent="0.2">
      <c r="A433" s="10" t="s">
        <v>1852</v>
      </c>
      <c r="B433" s="11" t="s">
        <v>1853</v>
      </c>
      <c r="C433" s="10" t="s">
        <v>1854</v>
      </c>
      <c r="D433" s="10" t="s">
        <v>1854</v>
      </c>
      <c r="E433" s="10" t="s">
        <v>1855</v>
      </c>
      <c r="F433" s="10" t="s">
        <v>21</v>
      </c>
      <c r="G433" s="10" t="s">
        <v>61</v>
      </c>
      <c r="H433" s="10" t="s">
        <v>62</v>
      </c>
      <c r="I433" s="10" t="str">
        <f>HYPERLINK("http://www.ebegroup.it/","www.ebegroup.it")</f>
        <v>www.ebegroup.it</v>
      </c>
      <c r="J433" s="12">
        <v>433.84399999999999</v>
      </c>
      <c r="K433" s="12">
        <v>433.84399999999999</v>
      </c>
      <c r="L433" s="12">
        <v>1090.9290000000001</v>
      </c>
      <c r="M433" s="12">
        <v>7.7009999999999996</v>
      </c>
      <c r="N433" s="12">
        <v>7.7009999999999996</v>
      </c>
      <c r="O433" s="12">
        <v>-2.972</v>
      </c>
      <c r="P433" s="13" t="s">
        <v>24</v>
      </c>
      <c r="Q433" s="13" t="s">
        <v>24</v>
      </c>
      <c r="R433" s="12">
        <v>3</v>
      </c>
    </row>
    <row r="434" spans="1:18" ht="17" customHeight="1" x14ac:dyDescent="0.2">
      <c r="A434" s="5" t="s">
        <v>1856</v>
      </c>
      <c r="B434" s="6" t="s">
        <v>1857</v>
      </c>
      <c r="C434" s="5" t="s">
        <v>1858</v>
      </c>
      <c r="D434" s="5" t="s">
        <v>1858</v>
      </c>
      <c r="E434" s="5" t="s">
        <v>1859</v>
      </c>
      <c r="F434" s="5" t="s">
        <v>114</v>
      </c>
      <c r="G434" s="5" t="s">
        <v>135</v>
      </c>
      <c r="H434" s="5" t="s">
        <v>31</v>
      </c>
      <c r="I434" s="5" t="str">
        <f>HYPERLINK("http://www.scmfashion.com/","www.scmfashion.com")</f>
        <v>www.scmfashion.com</v>
      </c>
      <c r="J434" s="7">
        <v>2346.6309999999999</v>
      </c>
      <c r="K434" s="7">
        <v>2346.6309999999999</v>
      </c>
      <c r="L434" s="8">
        <v>1090.0609999999999</v>
      </c>
      <c r="M434" s="7">
        <v>210.60599999999999</v>
      </c>
      <c r="N434" s="7">
        <v>210.60599999999999</v>
      </c>
      <c r="O434" s="7">
        <v>292.01600000000002</v>
      </c>
      <c r="P434" s="9" t="s">
        <v>24</v>
      </c>
      <c r="Q434" s="9" t="s">
        <v>24</v>
      </c>
      <c r="R434" s="7">
        <v>53</v>
      </c>
    </row>
    <row r="435" spans="1:18" ht="29.5" customHeight="1" x14ac:dyDescent="0.2">
      <c r="A435" s="10" t="s">
        <v>1860</v>
      </c>
      <c r="B435" s="11" t="s">
        <v>1861</v>
      </c>
      <c r="C435" s="10" t="s">
        <v>1862</v>
      </c>
      <c r="D435" s="10" t="s">
        <v>1862</v>
      </c>
      <c r="E435" s="10" t="s">
        <v>1863</v>
      </c>
      <c r="F435" s="10" t="s">
        <v>21</v>
      </c>
      <c r="G435" s="10" t="s">
        <v>224</v>
      </c>
      <c r="H435" s="10" t="s">
        <v>23</v>
      </c>
      <c r="I435" s="10" t="str">
        <f>HYPERLINK("http://calzaturificiopegaso.it/","calzaturificiopegaso.it")</f>
        <v>calzaturificiopegaso.it</v>
      </c>
      <c r="J435" s="12">
        <v>1378.1849999999999</v>
      </c>
      <c r="K435" s="12">
        <v>1378.1849999999999</v>
      </c>
      <c r="L435" s="12">
        <v>1090</v>
      </c>
      <c r="M435" s="12">
        <v>6.508</v>
      </c>
      <c r="N435" s="12">
        <v>6.508</v>
      </c>
      <c r="O435" s="12">
        <v>6.2709999999999999</v>
      </c>
      <c r="P435" s="12">
        <v>23</v>
      </c>
      <c r="Q435" s="12">
        <v>23</v>
      </c>
      <c r="R435" s="12">
        <v>24</v>
      </c>
    </row>
    <row r="436" spans="1:18" ht="17" customHeight="1" x14ac:dyDescent="0.2">
      <c r="A436" s="5" t="s">
        <v>1864</v>
      </c>
      <c r="B436" s="6" t="s">
        <v>1865</v>
      </c>
      <c r="C436" s="5" t="s">
        <v>1866</v>
      </c>
      <c r="D436" s="5" t="s">
        <v>1866</v>
      </c>
      <c r="E436" s="5" t="s">
        <v>1867</v>
      </c>
      <c r="F436" s="5" t="s">
        <v>54</v>
      </c>
      <c r="G436" s="5" t="s">
        <v>55</v>
      </c>
      <c r="H436" s="5" t="s">
        <v>56</v>
      </c>
      <c r="I436" s="5" t="str">
        <f>HYPERLINK("http://www.arpecitalia.com/","www.arpecitalia.com")</f>
        <v>www.arpecitalia.com</v>
      </c>
      <c r="J436" s="7">
        <v>1286.729</v>
      </c>
      <c r="K436" s="7">
        <v>1286.729</v>
      </c>
      <c r="L436" s="8">
        <v>1089.45</v>
      </c>
      <c r="M436" s="7">
        <v>209.005</v>
      </c>
      <c r="N436" s="7">
        <v>209.005</v>
      </c>
      <c r="O436" s="7">
        <v>173.077</v>
      </c>
      <c r="P436" s="9" t="s">
        <v>24</v>
      </c>
      <c r="Q436" s="9" t="s">
        <v>24</v>
      </c>
      <c r="R436" s="7">
        <v>3</v>
      </c>
    </row>
    <row r="437" spans="1:18" ht="17" customHeight="1" x14ac:dyDescent="0.2">
      <c r="A437" s="10" t="s">
        <v>1868</v>
      </c>
      <c r="B437" s="11" t="s">
        <v>1869</v>
      </c>
      <c r="C437" s="10" t="s">
        <v>1870</v>
      </c>
      <c r="D437" s="10" t="s">
        <v>1870</v>
      </c>
      <c r="E437" s="10" t="s">
        <v>1871</v>
      </c>
      <c r="F437" s="10" t="s">
        <v>149</v>
      </c>
      <c r="G437" s="10" t="s">
        <v>1872</v>
      </c>
      <c r="H437" s="10" t="s">
        <v>74</v>
      </c>
      <c r="I437" s="10" t="str">
        <f>HYPERLINK("http://www.mellos.it/","www.mellos.it")</f>
        <v>www.mellos.it</v>
      </c>
      <c r="J437" s="12">
        <v>782.904</v>
      </c>
      <c r="K437" s="12">
        <v>782.904</v>
      </c>
      <c r="L437" s="12">
        <v>1089.319</v>
      </c>
      <c r="M437" s="12">
        <v>-13.542</v>
      </c>
      <c r="N437" s="12">
        <v>-13.542</v>
      </c>
      <c r="O437" s="12">
        <v>-1.958</v>
      </c>
      <c r="P437" s="12">
        <v>5</v>
      </c>
      <c r="Q437" s="12">
        <v>5</v>
      </c>
      <c r="R437" s="12">
        <v>6</v>
      </c>
    </row>
    <row r="438" spans="1:18" ht="17" customHeight="1" x14ac:dyDescent="0.2">
      <c r="A438" s="5" t="s">
        <v>1873</v>
      </c>
      <c r="B438" s="6" t="s">
        <v>1874</v>
      </c>
      <c r="C438" s="5" t="s">
        <v>1875</v>
      </c>
      <c r="D438" s="5" t="s">
        <v>1875</v>
      </c>
      <c r="E438" s="5" t="s">
        <v>1876</v>
      </c>
      <c r="F438" s="5" t="s">
        <v>114</v>
      </c>
      <c r="G438" s="5" t="s">
        <v>293</v>
      </c>
      <c r="H438" s="5" t="s">
        <v>74</v>
      </c>
      <c r="I438" s="5" t="str">
        <f>HYPERLINK("http://www.ricamificioa3.it/","www.ricamificioa3.it")</f>
        <v>www.ricamificioa3.it</v>
      </c>
      <c r="J438" s="7">
        <v>1167.0129999999999</v>
      </c>
      <c r="K438" s="7">
        <v>1167.0129999999999</v>
      </c>
      <c r="L438" s="8">
        <v>1088.28</v>
      </c>
      <c r="M438" s="7">
        <v>291.79899999999998</v>
      </c>
      <c r="N438" s="7">
        <v>291.79899999999998</v>
      </c>
      <c r="O438" s="7">
        <v>190.99199999999999</v>
      </c>
      <c r="P438" s="7">
        <v>10</v>
      </c>
      <c r="Q438" s="7">
        <v>10</v>
      </c>
      <c r="R438" s="7">
        <v>10</v>
      </c>
    </row>
    <row r="439" spans="1:18" ht="17" customHeight="1" x14ac:dyDescent="0.2">
      <c r="A439" s="10" t="s">
        <v>1877</v>
      </c>
      <c r="B439" s="11" t="s">
        <v>1878</v>
      </c>
      <c r="C439" s="10" t="s">
        <v>1879</v>
      </c>
      <c r="D439" s="10" t="s">
        <v>1879</v>
      </c>
      <c r="E439" s="10" t="s">
        <v>1880</v>
      </c>
      <c r="F439" s="10" t="s">
        <v>99</v>
      </c>
      <c r="G439" s="10" t="s">
        <v>274</v>
      </c>
      <c r="H439" s="10" t="s">
        <v>31</v>
      </c>
      <c r="I439" s="10" t="str">
        <f>HYPERLINK("http://www.emanuelecurci.it/","www.emanuelecurci.it")</f>
        <v>www.emanuelecurci.it</v>
      </c>
      <c r="J439" s="12">
        <v>853.50699999999995</v>
      </c>
      <c r="K439" s="12">
        <v>853.50699999999995</v>
      </c>
      <c r="L439" s="12">
        <v>1087.6379999999999</v>
      </c>
      <c r="M439" s="12">
        <v>156.785</v>
      </c>
      <c r="N439" s="12">
        <v>156.785</v>
      </c>
      <c r="O439" s="12">
        <v>218.072</v>
      </c>
      <c r="P439" s="13" t="s">
        <v>24</v>
      </c>
      <c r="Q439" s="13" t="s">
        <v>24</v>
      </c>
      <c r="R439" s="12">
        <v>3</v>
      </c>
    </row>
    <row r="440" spans="1:18" ht="17" customHeight="1" x14ac:dyDescent="0.2">
      <c r="A440" s="5" t="s">
        <v>1881</v>
      </c>
      <c r="B440" s="6" t="s">
        <v>1882</v>
      </c>
      <c r="C440" s="5" t="s">
        <v>1883</v>
      </c>
      <c r="D440" s="5" t="s">
        <v>1884</v>
      </c>
      <c r="E440" s="5" t="s">
        <v>1885</v>
      </c>
      <c r="F440" s="5" t="s">
        <v>72</v>
      </c>
      <c r="G440" s="5" t="s">
        <v>190</v>
      </c>
      <c r="H440" s="5" t="s">
        <v>74</v>
      </c>
      <c r="I440" s="5" t="str">
        <f>HYPERLINK("http://sozzimilano.com/","sozzimilano.com")</f>
        <v>sozzimilano.com</v>
      </c>
      <c r="J440" s="7">
        <v>1872.279</v>
      </c>
      <c r="K440" s="7">
        <v>1872.279</v>
      </c>
      <c r="L440" s="8">
        <v>1087.481</v>
      </c>
      <c r="M440" s="7">
        <v>78.843999999999994</v>
      </c>
      <c r="N440" s="7">
        <v>78.843999999999994</v>
      </c>
      <c r="O440" s="7">
        <v>6.1849999999999996</v>
      </c>
      <c r="P440" s="7">
        <v>7</v>
      </c>
      <c r="Q440" s="7">
        <v>7</v>
      </c>
      <c r="R440" s="7">
        <v>7</v>
      </c>
    </row>
    <row r="441" spans="1:18" ht="17" customHeight="1" x14ac:dyDescent="0.2">
      <c r="A441" s="10" t="s">
        <v>1886</v>
      </c>
      <c r="B441" s="11" t="s">
        <v>1887</v>
      </c>
      <c r="C441" s="10" t="s">
        <v>1888</v>
      </c>
      <c r="D441" s="10" t="s">
        <v>1888</v>
      </c>
      <c r="E441" s="10" t="s">
        <v>1889</v>
      </c>
      <c r="F441" s="10" t="s">
        <v>252</v>
      </c>
      <c r="G441" s="10" t="s">
        <v>42</v>
      </c>
      <c r="H441" s="10" t="s">
        <v>43</v>
      </c>
      <c r="I441" s="10" t="str">
        <f>HYPERLINK("http://www.zanebet.com/","www.zanebet.com")</f>
        <v>www.zanebet.com</v>
      </c>
      <c r="J441" s="12">
        <v>1534.7460000000001</v>
      </c>
      <c r="K441" s="12">
        <v>1534.7460000000001</v>
      </c>
      <c r="L441" s="12">
        <v>1087.4169999999999</v>
      </c>
      <c r="M441" s="12">
        <v>40.503</v>
      </c>
      <c r="N441" s="12">
        <v>40.503</v>
      </c>
      <c r="O441" s="12">
        <v>7.7220000000000004</v>
      </c>
      <c r="P441" s="12">
        <v>18</v>
      </c>
      <c r="Q441" s="12">
        <v>18</v>
      </c>
      <c r="R441" s="12">
        <v>18</v>
      </c>
    </row>
    <row r="442" spans="1:18" ht="17" customHeight="1" x14ac:dyDescent="0.2">
      <c r="A442" s="5" t="s">
        <v>1890</v>
      </c>
      <c r="B442" s="6" t="s">
        <v>1891</v>
      </c>
      <c r="C442" s="5" t="s">
        <v>1892</v>
      </c>
      <c r="D442" s="5" t="s">
        <v>1892</v>
      </c>
      <c r="E442" s="5" t="s">
        <v>1893</v>
      </c>
      <c r="F442" s="5" t="s">
        <v>21</v>
      </c>
      <c r="G442" s="5" t="s">
        <v>100</v>
      </c>
      <c r="H442" s="5" t="s">
        <v>62</v>
      </c>
      <c r="I442" s="5" t="str">
        <f>HYPERLINK("http://www.liadiva.com/","www.liadiva.com")</f>
        <v>www.liadiva.com</v>
      </c>
      <c r="J442" s="7">
        <v>964.29200000000003</v>
      </c>
      <c r="K442" s="7">
        <v>964.29200000000003</v>
      </c>
      <c r="L442" s="8">
        <v>1087.029</v>
      </c>
      <c r="M442" s="7">
        <v>-9.1820000000000004</v>
      </c>
      <c r="N442" s="7">
        <v>-9.1820000000000004</v>
      </c>
      <c r="O442" s="7">
        <v>23.574000000000002</v>
      </c>
      <c r="P442" s="7">
        <v>7</v>
      </c>
      <c r="Q442" s="7">
        <v>7</v>
      </c>
      <c r="R442" s="7">
        <v>8</v>
      </c>
    </row>
    <row r="443" spans="1:18" ht="17" customHeight="1" x14ac:dyDescent="0.2">
      <c r="A443" s="10" t="s">
        <v>1894</v>
      </c>
      <c r="B443" s="11" t="s">
        <v>1895</v>
      </c>
      <c r="C443" s="10" t="s">
        <v>1896</v>
      </c>
      <c r="D443" s="10" t="s">
        <v>1896</v>
      </c>
      <c r="E443" s="10" t="s">
        <v>1897</v>
      </c>
      <c r="F443" s="10" t="s">
        <v>114</v>
      </c>
      <c r="G443" s="10" t="s">
        <v>1210</v>
      </c>
      <c r="H443" s="10" t="s">
        <v>1132</v>
      </c>
      <c r="I443" s="10" t="str">
        <f>HYPERLINK("http://dgl-srl.it/","dgl-srl.it")</f>
        <v>dgl-srl.it</v>
      </c>
      <c r="J443" s="12">
        <v>1254.2139999999999</v>
      </c>
      <c r="K443" s="12">
        <v>1254.2139999999999</v>
      </c>
      <c r="L443" s="12">
        <v>1085.6669999999999</v>
      </c>
      <c r="M443" s="12">
        <v>15.475</v>
      </c>
      <c r="N443" s="12">
        <v>15.475</v>
      </c>
      <c r="O443" s="12">
        <v>30.228999999999999</v>
      </c>
      <c r="P443" s="13" t="s">
        <v>24</v>
      </c>
      <c r="Q443" s="13" t="s">
        <v>24</v>
      </c>
      <c r="R443" s="12">
        <v>37</v>
      </c>
    </row>
    <row r="444" spans="1:18" ht="17" customHeight="1" x14ac:dyDescent="0.2">
      <c r="A444" s="5" t="s">
        <v>1898</v>
      </c>
      <c r="B444" s="6" t="s">
        <v>1899</v>
      </c>
      <c r="C444" s="5" t="s">
        <v>1900</v>
      </c>
      <c r="D444" s="5" t="s">
        <v>1900</v>
      </c>
      <c r="E444" s="5" t="s">
        <v>1901</v>
      </c>
      <c r="F444" s="5" t="s">
        <v>105</v>
      </c>
      <c r="G444" s="5" t="s">
        <v>211</v>
      </c>
      <c r="H444" s="5" t="s">
        <v>74</v>
      </c>
      <c r="I444" s="5" t="str">
        <f>HYPERLINK("http://mazzolenigloves.com/","mazzolenigloves.com")</f>
        <v>mazzolenigloves.com</v>
      </c>
      <c r="J444" s="7">
        <v>1065.144</v>
      </c>
      <c r="K444" s="7">
        <v>1065.144</v>
      </c>
      <c r="L444" s="8">
        <v>1084.713</v>
      </c>
      <c r="M444" s="7">
        <v>24.204999999999998</v>
      </c>
      <c r="N444" s="7">
        <v>24.204999999999998</v>
      </c>
      <c r="O444" s="7">
        <v>1.718</v>
      </c>
      <c r="P444" s="7">
        <v>15</v>
      </c>
      <c r="Q444" s="7">
        <v>15</v>
      </c>
      <c r="R444" s="7">
        <v>15</v>
      </c>
    </row>
    <row r="445" spans="1:18" ht="17" customHeight="1" x14ac:dyDescent="0.2">
      <c r="A445" s="10" t="s">
        <v>1902</v>
      </c>
      <c r="B445" s="11" t="s">
        <v>1903</v>
      </c>
      <c r="C445" s="10" t="s">
        <v>1904</v>
      </c>
      <c r="D445" s="10" t="s">
        <v>1904</v>
      </c>
      <c r="E445" s="10" t="s">
        <v>1905</v>
      </c>
      <c r="F445" s="10" t="s">
        <v>48</v>
      </c>
      <c r="G445" s="10" t="s">
        <v>1906</v>
      </c>
      <c r="H445" s="10" t="s">
        <v>525</v>
      </c>
      <c r="I445" s="10" t="str">
        <f>HYPERLINK("http://slimitalia.com/","slimitalia.com")</f>
        <v>slimitalia.com</v>
      </c>
      <c r="J445" s="12">
        <v>1006.254</v>
      </c>
      <c r="K445" s="12">
        <v>1006.254</v>
      </c>
      <c r="L445" s="12">
        <v>1083.7529999999999</v>
      </c>
      <c r="M445" s="12">
        <v>30.596</v>
      </c>
      <c r="N445" s="12">
        <v>30.596</v>
      </c>
      <c r="O445" s="12">
        <v>81.328999999999994</v>
      </c>
      <c r="P445" s="12">
        <v>5</v>
      </c>
      <c r="Q445" s="12">
        <v>5</v>
      </c>
      <c r="R445" s="12">
        <v>4</v>
      </c>
    </row>
    <row r="446" spans="1:18" ht="17" customHeight="1" x14ac:dyDescent="0.2">
      <c r="A446" s="5" t="s">
        <v>1907</v>
      </c>
      <c r="B446" s="6" t="s">
        <v>1908</v>
      </c>
      <c r="C446" s="5" t="s">
        <v>1909</v>
      </c>
      <c r="D446" s="5" t="s">
        <v>1909</v>
      </c>
      <c r="E446" s="5" t="s">
        <v>1910</v>
      </c>
      <c r="F446" s="5" t="s">
        <v>114</v>
      </c>
      <c r="G446" s="5" t="s">
        <v>274</v>
      </c>
      <c r="H446" s="5" t="s">
        <v>31</v>
      </c>
      <c r="I446" s="5" t="str">
        <f>HYPERLINK("http://www.dinstinctiva.com/","www.dinstinctiva.com")</f>
        <v>www.dinstinctiva.com</v>
      </c>
      <c r="J446" s="7">
        <v>1305.3309999999999</v>
      </c>
      <c r="K446" s="7">
        <v>1305.3309999999999</v>
      </c>
      <c r="L446" s="8">
        <v>1080.8979999999999</v>
      </c>
      <c r="M446" s="7">
        <v>151.50700000000001</v>
      </c>
      <c r="N446" s="7">
        <v>151.50700000000001</v>
      </c>
      <c r="O446" s="7">
        <v>218.62100000000001</v>
      </c>
      <c r="P446" s="9" t="s">
        <v>24</v>
      </c>
      <c r="Q446" s="9" t="s">
        <v>24</v>
      </c>
      <c r="R446" s="7">
        <v>10</v>
      </c>
    </row>
    <row r="447" spans="1:18" ht="29.5" customHeight="1" x14ac:dyDescent="0.2">
      <c r="A447" s="10" t="s">
        <v>1911</v>
      </c>
      <c r="B447" s="11" t="s">
        <v>1912</v>
      </c>
      <c r="C447" s="10" t="s">
        <v>1913</v>
      </c>
      <c r="D447" s="10" t="s">
        <v>1913</v>
      </c>
      <c r="E447" s="10" t="s">
        <v>1914</v>
      </c>
      <c r="F447" s="10" t="s">
        <v>54</v>
      </c>
      <c r="G447" s="10" t="s">
        <v>100</v>
      </c>
      <c r="H447" s="10" t="s">
        <v>62</v>
      </c>
      <c r="I447" s="10" t="str">
        <f>HYPERLINK("http://www.laneapolissotterrata.it/","www.laneapolissotterrata.it")</f>
        <v>www.laneapolissotterrata.it</v>
      </c>
      <c r="J447" s="12">
        <v>1177.05</v>
      </c>
      <c r="K447" s="12">
        <v>1177.05</v>
      </c>
      <c r="L447" s="12">
        <v>1080.751</v>
      </c>
      <c r="M447" s="12">
        <v>102.254</v>
      </c>
      <c r="N447" s="12">
        <v>102.254</v>
      </c>
      <c r="O447" s="12">
        <v>51.91</v>
      </c>
      <c r="P447" s="13" t="s">
        <v>24</v>
      </c>
      <c r="Q447" s="13" t="s">
        <v>24</v>
      </c>
      <c r="R447" s="12">
        <v>2</v>
      </c>
    </row>
    <row r="448" spans="1:18" ht="17" customHeight="1" x14ac:dyDescent="0.2">
      <c r="A448" s="5" t="s">
        <v>1915</v>
      </c>
      <c r="B448" s="6" t="s">
        <v>1916</v>
      </c>
      <c r="C448" s="5" t="s">
        <v>1917</v>
      </c>
      <c r="D448" s="5" t="s">
        <v>1917</v>
      </c>
      <c r="E448" s="5" t="s">
        <v>1918</v>
      </c>
      <c r="F448" s="5" t="s">
        <v>325</v>
      </c>
      <c r="G448" s="5" t="s">
        <v>229</v>
      </c>
      <c r="H448" s="5" t="s">
        <v>31</v>
      </c>
      <c r="I448" s="5" t="str">
        <f>HYPERLINK("http://www.mila-aint.com/","www.mila-aint.com")</f>
        <v>www.mila-aint.com</v>
      </c>
      <c r="J448" s="7">
        <v>1187.7529999999999</v>
      </c>
      <c r="K448" s="7">
        <v>1187.7529999999999</v>
      </c>
      <c r="L448" s="8">
        <v>1079.5419999999999</v>
      </c>
      <c r="M448" s="7">
        <v>11.25</v>
      </c>
      <c r="N448" s="7">
        <v>11.25</v>
      </c>
      <c r="O448" s="7">
        <v>0.67800000000000005</v>
      </c>
      <c r="P448" s="9" t="s">
        <v>24</v>
      </c>
      <c r="Q448" s="9" t="s">
        <v>24</v>
      </c>
      <c r="R448" s="7">
        <v>16</v>
      </c>
    </row>
    <row r="449" spans="1:18" ht="17" customHeight="1" x14ac:dyDescent="0.2">
      <c r="A449" s="10" t="s">
        <v>1919</v>
      </c>
      <c r="B449" s="11" t="s">
        <v>1920</v>
      </c>
      <c r="C449" s="10" t="s">
        <v>1921</v>
      </c>
      <c r="D449" s="10" t="s">
        <v>1921</v>
      </c>
      <c r="E449" s="10" t="s">
        <v>1922</v>
      </c>
      <c r="F449" s="10" t="s">
        <v>48</v>
      </c>
      <c r="G449" s="10" t="s">
        <v>547</v>
      </c>
      <c r="H449" s="10" t="s">
        <v>299</v>
      </c>
      <c r="I449" s="10" t="str">
        <f>HYPERLINK("http://www.ballodasola.com/","www.ballodasola.com")</f>
        <v>www.ballodasola.com</v>
      </c>
      <c r="J449" s="12">
        <v>864.77700000000004</v>
      </c>
      <c r="K449" s="12">
        <v>864.77700000000004</v>
      </c>
      <c r="L449" s="12">
        <v>1078.4449999999999</v>
      </c>
      <c r="M449" s="12">
        <v>22.896999999999998</v>
      </c>
      <c r="N449" s="12">
        <v>22.896999999999998</v>
      </c>
      <c r="O449" s="12">
        <v>35.71</v>
      </c>
      <c r="P449" s="12">
        <v>5</v>
      </c>
      <c r="Q449" s="12">
        <v>5</v>
      </c>
      <c r="R449" s="12">
        <v>5</v>
      </c>
    </row>
    <row r="450" spans="1:18" ht="17" customHeight="1" x14ac:dyDescent="0.2">
      <c r="A450" s="5" t="s">
        <v>1923</v>
      </c>
      <c r="B450" s="6" t="s">
        <v>1924</v>
      </c>
      <c r="C450" s="5" t="s">
        <v>1925</v>
      </c>
      <c r="D450" s="5" t="s">
        <v>1925</v>
      </c>
      <c r="E450" s="5" t="s">
        <v>1926</v>
      </c>
      <c r="F450" s="5" t="s">
        <v>41</v>
      </c>
      <c r="G450" s="5" t="s">
        <v>42</v>
      </c>
      <c r="H450" s="5" t="s">
        <v>43</v>
      </c>
      <c r="I450" s="5" t="str">
        <f>HYPERLINK("http://www.pieropan-bauce.it/","www.pieropan-bauce.it")</f>
        <v>www.pieropan-bauce.it</v>
      </c>
      <c r="J450" s="7">
        <v>1043.3150000000001</v>
      </c>
      <c r="K450" s="7">
        <v>1043.3150000000001</v>
      </c>
      <c r="L450" s="8">
        <v>1077.69</v>
      </c>
      <c r="M450" s="7">
        <v>6.125</v>
      </c>
      <c r="N450" s="7">
        <v>6.125</v>
      </c>
      <c r="O450" s="7">
        <v>2.476</v>
      </c>
      <c r="P450" s="7">
        <v>9</v>
      </c>
      <c r="Q450" s="7">
        <v>9</v>
      </c>
      <c r="R450" s="7">
        <v>10</v>
      </c>
    </row>
    <row r="451" spans="1:18" ht="17" customHeight="1" x14ac:dyDescent="0.2">
      <c r="A451" s="10" t="s">
        <v>1927</v>
      </c>
      <c r="B451" s="11" t="s">
        <v>1928</v>
      </c>
      <c r="C451" s="10" t="s">
        <v>1929</v>
      </c>
      <c r="D451" s="10" t="s">
        <v>1929</v>
      </c>
      <c r="E451" s="10" t="s">
        <v>1930</v>
      </c>
      <c r="F451" s="10" t="s">
        <v>860</v>
      </c>
      <c r="G451" s="10" t="s">
        <v>42</v>
      </c>
      <c r="H451" s="10" t="s">
        <v>43</v>
      </c>
      <c r="I451" s="10" t="str">
        <f>HYPERLINK("http://www.pelliccerianovella.it/","www.pelliccerianovella.it")</f>
        <v>www.pelliccerianovella.it</v>
      </c>
      <c r="J451" s="12">
        <v>715.80200000000002</v>
      </c>
      <c r="K451" s="12">
        <v>715.80200000000002</v>
      </c>
      <c r="L451" s="12">
        <v>1076.5809999999999</v>
      </c>
      <c r="M451" s="12">
        <v>-61.081000000000003</v>
      </c>
      <c r="N451" s="12">
        <v>-61.081000000000003</v>
      </c>
      <c r="O451" s="12">
        <v>-13.362</v>
      </c>
      <c r="P451" s="12">
        <v>5</v>
      </c>
      <c r="Q451" s="12">
        <v>5</v>
      </c>
      <c r="R451" s="12">
        <v>6</v>
      </c>
    </row>
    <row r="452" spans="1:18" ht="17" customHeight="1" x14ac:dyDescent="0.2">
      <c r="A452" s="5" t="s">
        <v>1931</v>
      </c>
      <c r="B452" s="6" t="s">
        <v>1932</v>
      </c>
      <c r="C452" s="5" t="s">
        <v>1933</v>
      </c>
      <c r="D452" s="5" t="s">
        <v>1933</v>
      </c>
      <c r="E452" s="5" t="s">
        <v>1934</v>
      </c>
      <c r="F452" s="5" t="s">
        <v>54</v>
      </c>
      <c r="G452" s="5" t="s">
        <v>115</v>
      </c>
      <c r="H452" s="5" t="s">
        <v>43</v>
      </c>
      <c r="I452" s="5" t="str">
        <f>HYPERLINK("http://www.pat-anatomici.com/","www.pat-anatomici.com")</f>
        <v>www.pat-anatomici.com</v>
      </c>
      <c r="J452" s="7">
        <v>1171.644</v>
      </c>
      <c r="K452" s="7">
        <v>1171.644</v>
      </c>
      <c r="L452" s="8">
        <v>1075.248</v>
      </c>
      <c r="M452" s="7">
        <v>114.41800000000001</v>
      </c>
      <c r="N452" s="7">
        <v>114.41800000000001</v>
      </c>
      <c r="O452" s="7">
        <v>129.56700000000001</v>
      </c>
      <c r="P452" s="9" t="s">
        <v>24</v>
      </c>
      <c r="Q452" s="9" t="s">
        <v>24</v>
      </c>
      <c r="R452" s="7">
        <v>9</v>
      </c>
    </row>
    <row r="453" spans="1:18" ht="17" customHeight="1" x14ac:dyDescent="0.2">
      <c r="A453" s="10" t="s">
        <v>1935</v>
      </c>
      <c r="B453" s="11" t="s">
        <v>1936</v>
      </c>
      <c r="C453" s="10" t="s">
        <v>1937</v>
      </c>
      <c r="D453" s="10" t="s">
        <v>1937</v>
      </c>
      <c r="E453" s="10" t="s">
        <v>1938</v>
      </c>
      <c r="F453" s="10" t="s">
        <v>482</v>
      </c>
      <c r="G453" s="10" t="s">
        <v>42</v>
      </c>
      <c r="H453" s="10" t="s">
        <v>43</v>
      </c>
      <c r="I453" s="10" t="str">
        <f>HYPERLINK("http://www.bonettocinturini.com/","www.bonettocinturini.com")</f>
        <v>www.bonettocinturini.com</v>
      </c>
      <c r="J453" s="12">
        <v>603.13</v>
      </c>
      <c r="K453" s="12">
        <v>603.13</v>
      </c>
      <c r="L453" s="12">
        <v>1072.68</v>
      </c>
      <c r="M453" s="12">
        <v>-106.684</v>
      </c>
      <c r="N453" s="12">
        <v>-106.684</v>
      </c>
      <c r="O453" s="12">
        <v>21.914000000000001</v>
      </c>
      <c r="P453" s="13" t="s">
        <v>24</v>
      </c>
      <c r="Q453" s="13" t="s">
        <v>24</v>
      </c>
      <c r="R453" s="12">
        <v>10</v>
      </c>
    </row>
    <row r="454" spans="1:18" ht="17" customHeight="1" x14ac:dyDescent="0.2">
      <c r="A454" s="5" t="s">
        <v>1939</v>
      </c>
      <c r="B454" s="6" t="s">
        <v>1940</v>
      </c>
      <c r="C454" s="5" t="s">
        <v>1941</v>
      </c>
      <c r="D454" s="5" t="s">
        <v>1941</v>
      </c>
      <c r="E454" s="5" t="s">
        <v>1942</v>
      </c>
      <c r="F454" s="5" t="s">
        <v>29</v>
      </c>
      <c r="G454" s="5" t="s">
        <v>190</v>
      </c>
      <c r="H454" s="5" t="s">
        <v>74</v>
      </c>
      <c r="I454" s="5" t="str">
        <f>HYPERLINK("http://www.n8milano.it/","www.n8milano.it")</f>
        <v>www.n8milano.it</v>
      </c>
      <c r="J454" s="7">
        <v>1951.258</v>
      </c>
      <c r="K454" s="7">
        <v>1375.7729999999999</v>
      </c>
      <c r="L454" s="8">
        <v>1072.373</v>
      </c>
      <c r="M454" s="7">
        <v>31.654</v>
      </c>
      <c r="N454" s="7">
        <v>23.042999999999999</v>
      </c>
      <c r="O454" s="7">
        <v>6.556</v>
      </c>
      <c r="P454" s="7">
        <v>4</v>
      </c>
      <c r="Q454" s="7">
        <v>5</v>
      </c>
      <c r="R454" s="7">
        <v>4</v>
      </c>
    </row>
    <row r="455" spans="1:18" ht="17" customHeight="1" x14ac:dyDescent="0.2">
      <c r="A455" s="10" t="s">
        <v>1943</v>
      </c>
      <c r="B455" s="11" t="s">
        <v>1944</v>
      </c>
      <c r="C455" s="10" t="s">
        <v>1945</v>
      </c>
      <c r="D455" s="10" t="s">
        <v>1945</v>
      </c>
      <c r="E455" s="10" t="s">
        <v>1946</v>
      </c>
      <c r="F455" s="10" t="s">
        <v>114</v>
      </c>
      <c r="G455" s="10" t="s">
        <v>229</v>
      </c>
      <c r="H455" s="10" t="s">
        <v>31</v>
      </c>
      <c r="I455" s="10" t="str">
        <f>HYPERLINK("http://www.barcellino.it/","www.barcellino.it")</f>
        <v>www.barcellino.it</v>
      </c>
      <c r="J455" s="12">
        <v>1144.769</v>
      </c>
      <c r="K455" s="12">
        <v>1144.769</v>
      </c>
      <c r="L455" s="12">
        <v>1072.096</v>
      </c>
      <c r="M455" s="12">
        <v>5.2649999999999997</v>
      </c>
      <c r="N455" s="12">
        <v>5.2649999999999997</v>
      </c>
      <c r="O455" s="12">
        <v>9.2680000000000007</v>
      </c>
      <c r="P455" s="13" t="s">
        <v>24</v>
      </c>
      <c r="Q455" s="13" t="s">
        <v>24</v>
      </c>
      <c r="R455" s="12">
        <v>18</v>
      </c>
    </row>
    <row r="456" spans="1:18" ht="17" customHeight="1" x14ac:dyDescent="0.2">
      <c r="A456" s="5" t="s">
        <v>1947</v>
      </c>
      <c r="B456" s="6" t="s">
        <v>1948</v>
      </c>
      <c r="C456" s="5" t="s">
        <v>1949</v>
      </c>
      <c r="D456" s="5" t="s">
        <v>1949</v>
      </c>
      <c r="E456" s="5" t="s">
        <v>1950</v>
      </c>
      <c r="F456" s="5" t="s">
        <v>114</v>
      </c>
      <c r="G456" s="5" t="s">
        <v>676</v>
      </c>
      <c r="H456" s="5" t="s">
        <v>74</v>
      </c>
      <c r="I456" s="5" t="str">
        <f>HYPERLINK("http://www.cristinabonfanti.it/","www.cristinabonfanti.it")</f>
        <v>www.cristinabonfanti.it</v>
      </c>
      <c r="J456" s="7">
        <v>1123.0360000000001</v>
      </c>
      <c r="K456" s="7">
        <v>1123.0360000000001</v>
      </c>
      <c r="L456" s="8">
        <v>1071.83</v>
      </c>
      <c r="M456" s="7">
        <v>24.408999999999999</v>
      </c>
      <c r="N456" s="7">
        <v>24.408999999999999</v>
      </c>
      <c r="O456" s="7">
        <v>7.4390000000000001</v>
      </c>
      <c r="P456" s="9" t="s">
        <v>24</v>
      </c>
      <c r="Q456" s="9" t="s">
        <v>24</v>
      </c>
      <c r="R456" s="7">
        <v>12</v>
      </c>
    </row>
    <row r="457" spans="1:18" ht="17" customHeight="1" x14ac:dyDescent="0.2">
      <c r="A457" s="10" t="s">
        <v>1951</v>
      </c>
      <c r="B457" s="11" t="s">
        <v>1952</v>
      </c>
      <c r="C457" s="10" t="s">
        <v>1953</v>
      </c>
      <c r="D457" s="10" t="s">
        <v>1953</v>
      </c>
      <c r="E457" s="10" t="s">
        <v>1954</v>
      </c>
      <c r="F457" s="10" t="s">
        <v>29</v>
      </c>
      <c r="G457" s="10" t="s">
        <v>190</v>
      </c>
      <c r="H457" s="10" t="s">
        <v>74</v>
      </c>
      <c r="I457" s="10" t="str">
        <f>HYPERLINK("http://www.piu39manifatture.it/","www.piu39manifatture.it")</f>
        <v>www.piu39manifatture.it</v>
      </c>
      <c r="J457" s="12">
        <v>963.68700000000001</v>
      </c>
      <c r="K457" s="12">
        <v>963.68700000000001</v>
      </c>
      <c r="L457" s="12">
        <v>1071.7729999999999</v>
      </c>
      <c r="M457" s="12">
        <v>32.128</v>
      </c>
      <c r="N457" s="12">
        <v>32.128</v>
      </c>
      <c r="O457" s="12">
        <v>7.6980000000000004</v>
      </c>
      <c r="P457" s="12">
        <v>9</v>
      </c>
      <c r="Q457" s="12">
        <v>9</v>
      </c>
      <c r="R457" s="12">
        <v>16</v>
      </c>
    </row>
    <row r="458" spans="1:18" ht="17" customHeight="1" x14ac:dyDescent="0.2">
      <c r="A458" s="5" t="s">
        <v>1955</v>
      </c>
      <c r="B458" s="6" t="s">
        <v>1956</v>
      </c>
      <c r="C458" s="5" t="s">
        <v>1957</v>
      </c>
      <c r="D458" s="5" t="s">
        <v>1957</v>
      </c>
      <c r="E458" s="5" t="s">
        <v>1958</v>
      </c>
      <c r="F458" s="5" t="s">
        <v>114</v>
      </c>
      <c r="G458" s="5" t="s">
        <v>1013</v>
      </c>
      <c r="H458" s="5" t="s">
        <v>43</v>
      </c>
      <c r="I458" s="5" t="str">
        <f>HYPERLINK("http://scaccosrl.com/","scaccosrl.com")</f>
        <v>scaccosrl.com</v>
      </c>
      <c r="J458" s="7">
        <v>1308.346</v>
      </c>
      <c r="K458" s="7">
        <v>1308.346</v>
      </c>
      <c r="L458" s="8">
        <v>1071.3030000000001</v>
      </c>
      <c r="M458" s="7">
        <v>17.635999999999999</v>
      </c>
      <c r="N458" s="7">
        <v>17.635999999999999</v>
      </c>
      <c r="O458" s="7">
        <v>15.167</v>
      </c>
      <c r="P458" s="7">
        <v>33</v>
      </c>
      <c r="Q458" s="7">
        <v>33</v>
      </c>
      <c r="R458" s="7">
        <v>21</v>
      </c>
    </row>
    <row r="459" spans="1:18" ht="17" customHeight="1" x14ac:dyDescent="0.2">
      <c r="A459" s="10" t="s">
        <v>1959</v>
      </c>
      <c r="B459" s="11" t="s">
        <v>1960</v>
      </c>
      <c r="C459" s="10" t="s">
        <v>1961</v>
      </c>
      <c r="D459" s="10" t="s">
        <v>1961</v>
      </c>
      <c r="E459" s="10" t="s">
        <v>1962</v>
      </c>
      <c r="F459" s="10" t="s">
        <v>41</v>
      </c>
      <c r="G459" s="10" t="s">
        <v>42</v>
      </c>
      <c r="H459" s="10" t="s">
        <v>43</v>
      </c>
      <c r="I459" s="10" t="str">
        <f>HYPERLINK("http://www.melapell.it/","www.melapell.it")</f>
        <v>www.melapell.it</v>
      </c>
      <c r="J459" s="12">
        <v>1177.239</v>
      </c>
      <c r="K459" s="12">
        <v>1177.239</v>
      </c>
      <c r="L459" s="12">
        <v>1070.835</v>
      </c>
      <c r="M459" s="12">
        <v>6.9610000000000003</v>
      </c>
      <c r="N459" s="12">
        <v>6.9610000000000003</v>
      </c>
      <c r="O459" s="12">
        <v>1.6639999999999999</v>
      </c>
      <c r="P459" s="12">
        <v>2</v>
      </c>
      <c r="Q459" s="12">
        <v>2</v>
      </c>
      <c r="R459" s="12">
        <v>2</v>
      </c>
    </row>
    <row r="460" spans="1:18" ht="29.5" customHeight="1" x14ac:dyDescent="0.2">
      <c r="A460" s="5" t="s">
        <v>1963</v>
      </c>
      <c r="B460" s="6" t="s">
        <v>1964</v>
      </c>
      <c r="C460" s="5" t="s">
        <v>1965</v>
      </c>
      <c r="D460" s="5" t="s">
        <v>1965</v>
      </c>
      <c r="E460" s="5" t="s">
        <v>1966</v>
      </c>
      <c r="F460" s="5" t="s">
        <v>54</v>
      </c>
      <c r="G460" s="5" t="s">
        <v>49</v>
      </c>
      <c r="H460" s="5" t="s">
        <v>23</v>
      </c>
      <c r="I460" s="5" t="str">
        <f>HYPERLINK("http://365.lineapelle-fair.it/","365.lineapelle-fair.it")</f>
        <v>365.lineapelle-fair.it</v>
      </c>
      <c r="J460" s="7">
        <v>1038.0129999999999</v>
      </c>
      <c r="K460" s="7">
        <v>1038.0129999999999</v>
      </c>
      <c r="L460" s="8">
        <v>1067.9169999999999</v>
      </c>
      <c r="M460" s="7">
        <v>82.081000000000003</v>
      </c>
      <c r="N460" s="7">
        <v>82.081000000000003</v>
      </c>
      <c r="O460" s="7">
        <v>160.06</v>
      </c>
      <c r="P460" s="9" t="s">
        <v>24</v>
      </c>
      <c r="Q460" s="9" t="s">
        <v>24</v>
      </c>
      <c r="R460" s="7">
        <v>2</v>
      </c>
    </row>
    <row r="461" spans="1:18" ht="17" customHeight="1" x14ac:dyDescent="0.2">
      <c r="A461" s="10" t="s">
        <v>1967</v>
      </c>
      <c r="B461" s="11" t="s">
        <v>1968</v>
      </c>
      <c r="C461" s="10" t="s">
        <v>1969</v>
      </c>
      <c r="D461" s="10" t="s">
        <v>1969</v>
      </c>
      <c r="E461" s="10" t="s">
        <v>1970</v>
      </c>
      <c r="F461" s="10" t="s">
        <v>462</v>
      </c>
      <c r="G461" s="10" t="s">
        <v>274</v>
      </c>
      <c r="H461" s="10" t="s">
        <v>31</v>
      </c>
      <c r="I461" s="10" t="str">
        <f>HYPERLINK("http://www.ferruccicomfort.net/","www.ferruccicomfort.net")</f>
        <v>www.ferruccicomfort.net</v>
      </c>
      <c r="J461" s="12">
        <v>1822.4280000000001</v>
      </c>
      <c r="K461" s="12">
        <v>1822.4280000000001</v>
      </c>
      <c r="L461" s="12">
        <v>1067.4839999999999</v>
      </c>
      <c r="M461" s="12">
        <v>26.498999999999999</v>
      </c>
      <c r="N461" s="12">
        <v>26.498999999999999</v>
      </c>
      <c r="O461" s="12">
        <v>-0.33800000000000002</v>
      </c>
      <c r="P461" s="12">
        <v>7</v>
      </c>
      <c r="Q461" s="12">
        <v>7</v>
      </c>
      <c r="R461" s="12">
        <v>5</v>
      </c>
    </row>
    <row r="462" spans="1:18" ht="17" customHeight="1" x14ac:dyDescent="0.2">
      <c r="A462" s="5" t="s">
        <v>1971</v>
      </c>
      <c r="B462" s="6" t="s">
        <v>1972</v>
      </c>
      <c r="C462" s="5" t="s">
        <v>1973</v>
      </c>
      <c r="D462" s="5" t="s">
        <v>1973</v>
      </c>
      <c r="E462" s="5" t="s">
        <v>1974</v>
      </c>
      <c r="F462" s="5" t="s">
        <v>149</v>
      </c>
      <c r="G462" s="5" t="s">
        <v>140</v>
      </c>
      <c r="H462" s="5" t="s">
        <v>43</v>
      </c>
      <c r="I462" s="5" t="str">
        <f>HYPERLINK("http://www.lafonte-pad.com/","www.lafonte-pad.com")</f>
        <v>www.lafonte-pad.com</v>
      </c>
      <c r="J462" s="7">
        <v>833.54100000000005</v>
      </c>
      <c r="K462" s="7">
        <v>833.54100000000005</v>
      </c>
      <c r="L462" s="8">
        <v>1066.923</v>
      </c>
      <c r="M462" s="7">
        <v>-100.182</v>
      </c>
      <c r="N462" s="7">
        <v>-100.182</v>
      </c>
      <c r="O462" s="7">
        <v>-74.192999999999998</v>
      </c>
      <c r="P462" s="7">
        <v>10</v>
      </c>
      <c r="Q462" s="7">
        <v>10</v>
      </c>
      <c r="R462" s="7">
        <v>12</v>
      </c>
    </row>
    <row r="463" spans="1:18" ht="43" customHeight="1" x14ac:dyDescent="0.2">
      <c r="A463" s="10" t="s">
        <v>1975</v>
      </c>
      <c r="B463" s="11" t="s">
        <v>1976</v>
      </c>
      <c r="C463" s="10" t="s">
        <v>1977</v>
      </c>
      <c r="D463" s="10" t="s">
        <v>1977</v>
      </c>
      <c r="E463" s="10" t="s">
        <v>1978</v>
      </c>
      <c r="F463" s="10" t="s">
        <v>114</v>
      </c>
      <c r="G463" s="10" t="s">
        <v>100</v>
      </c>
      <c r="H463" s="10" t="s">
        <v>62</v>
      </c>
      <c r="I463" s="10" t="str">
        <f>HYPERLINK("http://sorgentecouture.com/","sorgentecouture.com")</f>
        <v>sorgentecouture.com</v>
      </c>
      <c r="J463" s="12">
        <v>835.37900000000002</v>
      </c>
      <c r="K463" s="12">
        <v>835.37900000000002</v>
      </c>
      <c r="L463" s="12">
        <v>1066.749</v>
      </c>
      <c r="M463" s="12">
        <v>85.825000000000003</v>
      </c>
      <c r="N463" s="12">
        <v>85.825000000000003</v>
      </c>
      <c r="O463" s="12">
        <v>118.5</v>
      </c>
      <c r="P463" s="12">
        <v>4</v>
      </c>
      <c r="Q463" s="12">
        <v>4</v>
      </c>
      <c r="R463" s="12">
        <v>2</v>
      </c>
    </row>
    <row r="464" spans="1:18" ht="17" customHeight="1" x14ac:dyDescent="0.2">
      <c r="A464" s="5" t="s">
        <v>1979</v>
      </c>
      <c r="B464" s="6" t="s">
        <v>1980</v>
      </c>
      <c r="C464" s="5" t="s">
        <v>1981</v>
      </c>
      <c r="D464" s="5" t="s">
        <v>1981</v>
      </c>
      <c r="E464" s="5" t="s">
        <v>1982</v>
      </c>
      <c r="F464" s="5" t="s">
        <v>134</v>
      </c>
      <c r="G464" s="5" t="s">
        <v>293</v>
      </c>
      <c r="H464" s="5" t="s">
        <v>74</v>
      </c>
      <c r="I464" s="5" t="str">
        <f>HYPERLINK("http://www.sartoriadeplano.it/","www.sartoriadeplano.it")</f>
        <v>www.sartoriadeplano.it</v>
      </c>
      <c r="J464" s="7">
        <v>1242.5630000000001</v>
      </c>
      <c r="K464" s="7">
        <v>1242.5630000000001</v>
      </c>
      <c r="L464" s="8">
        <v>1065.3630000000001</v>
      </c>
      <c r="M464" s="7">
        <v>20.469000000000001</v>
      </c>
      <c r="N464" s="7">
        <v>20.469000000000001</v>
      </c>
      <c r="O464" s="7">
        <v>-4.3600000000000003</v>
      </c>
      <c r="P464" s="7">
        <v>17</v>
      </c>
      <c r="Q464" s="7">
        <v>17</v>
      </c>
      <c r="R464" s="7">
        <v>22</v>
      </c>
    </row>
    <row r="465" spans="1:18" ht="17" customHeight="1" x14ac:dyDescent="0.2">
      <c r="A465" s="10" t="s">
        <v>1983</v>
      </c>
      <c r="B465" s="11" t="s">
        <v>1984</v>
      </c>
      <c r="C465" s="10" t="s">
        <v>1985</v>
      </c>
      <c r="D465" s="10" t="s">
        <v>1985</v>
      </c>
      <c r="E465" s="10" t="s">
        <v>1986</v>
      </c>
      <c r="F465" s="10" t="s">
        <v>21</v>
      </c>
      <c r="G465" s="10" t="s">
        <v>190</v>
      </c>
      <c r="H465" s="10" t="s">
        <v>74</v>
      </c>
      <c r="I465" s="10" t="str">
        <f>HYPERLINK("http://www.vittoria-shoes.com/","www.vittoria-shoes.com")</f>
        <v>www.vittoria-shoes.com</v>
      </c>
      <c r="J465" s="12">
        <v>836.24400000000003</v>
      </c>
      <c r="K465" s="12">
        <v>836.24400000000003</v>
      </c>
      <c r="L465" s="12">
        <v>1064.971</v>
      </c>
      <c r="M465" s="12">
        <v>1.881</v>
      </c>
      <c r="N465" s="12">
        <v>1.881</v>
      </c>
      <c r="O465" s="12">
        <v>4.165</v>
      </c>
      <c r="P465" s="12">
        <v>6</v>
      </c>
      <c r="Q465" s="12">
        <v>6</v>
      </c>
      <c r="R465" s="12">
        <v>9</v>
      </c>
    </row>
    <row r="466" spans="1:18" ht="17" customHeight="1" x14ac:dyDescent="0.2">
      <c r="A466" s="5" t="s">
        <v>1987</v>
      </c>
      <c r="B466" s="6" t="s">
        <v>1988</v>
      </c>
      <c r="C466" s="5" t="s">
        <v>1989</v>
      </c>
      <c r="D466" s="5" t="s">
        <v>1989</v>
      </c>
      <c r="E466" s="5" t="s">
        <v>1990</v>
      </c>
      <c r="F466" s="5" t="s">
        <v>149</v>
      </c>
      <c r="G466" s="5" t="s">
        <v>190</v>
      </c>
      <c r="H466" s="5" t="s">
        <v>74</v>
      </c>
      <c r="I466" s="5" t="str">
        <f>HYPERLINK("http://www.cigieffe.com/","www.cigieffe.com")</f>
        <v>www.cigieffe.com</v>
      </c>
      <c r="J466" s="7">
        <v>893.31600000000003</v>
      </c>
      <c r="K466" s="7">
        <v>1069.7</v>
      </c>
      <c r="L466" s="8">
        <v>1064.5309999999999</v>
      </c>
      <c r="M466" s="7">
        <v>-45.259</v>
      </c>
      <c r="N466" s="7">
        <v>7.4710000000000001</v>
      </c>
      <c r="O466" s="7">
        <v>26.584</v>
      </c>
      <c r="P466" s="7">
        <v>14</v>
      </c>
      <c r="Q466" s="7">
        <v>14</v>
      </c>
      <c r="R466" s="7">
        <v>12</v>
      </c>
    </row>
    <row r="467" spans="1:18" ht="17" customHeight="1" x14ac:dyDescent="0.2">
      <c r="A467" s="10" t="s">
        <v>1991</v>
      </c>
      <c r="B467" s="11" t="s">
        <v>1992</v>
      </c>
      <c r="C467" s="10" t="s">
        <v>1993</v>
      </c>
      <c r="D467" s="10" t="s">
        <v>1993</v>
      </c>
      <c r="E467" s="10" t="s">
        <v>1994</v>
      </c>
      <c r="F467" s="10" t="s">
        <v>105</v>
      </c>
      <c r="G467" s="10" t="s">
        <v>100</v>
      </c>
      <c r="H467" s="10" t="s">
        <v>62</v>
      </c>
      <c r="I467" s="10" t="str">
        <f>HYPERLINK("http://erricoformicola.com/","erricoformicola.com")</f>
        <v>erricoformicola.com</v>
      </c>
      <c r="J467" s="12">
        <v>1811.8779999999999</v>
      </c>
      <c r="K467" s="12">
        <v>1811.8779999999999</v>
      </c>
      <c r="L467" s="12">
        <v>1064.125</v>
      </c>
      <c r="M467" s="12">
        <v>1.4059999999999999</v>
      </c>
      <c r="N467" s="12">
        <v>1.4059999999999999</v>
      </c>
      <c r="O467" s="12">
        <v>21.73</v>
      </c>
      <c r="P467" s="13" t="s">
        <v>24</v>
      </c>
      <c r="Q467" s="13" t="s">
        <v>24</v>
      </c>
      <c r="R467" s="12">
        <v>5</v>
      </c>
    </row>
    <row r="468" spans="1:18" ht="17" customHeight="1" x14ac:dyDescent="0.2">
      <c r="A468" s="5" t="s">
        <v>1995</v>
      </c>
      <c r="B468" s="6" t="s">
        <v>1996</v>
      </c>
      <c r="C468" s="5" t="s">
        <v>1997</v>
      </c>
      <c r="D468" s="5" t="s">
        <v>1997</v>
      </c>
      <c r="E468" s="5" t="s">
        <v>1998</v>
      </c>
      <c r="F468" s="5" t="s">
        <v>462</v>
      </c>
      <c r="G468" s="5" t="s">
        <v>274</v>
      </c>
      <c r="H468" s="5" t="s">
        <v>31</v>
      </c>
      <c r="I468" s="5" t="str">
        <f>HYPERLINK("http://www.giannettoportofino.it/","www.giannettoportofino.it")</f>
        <v>www.giannettoportofino.it</v>
      </c>
      <c r="J468" s="7">
        <v>1340.2929999999999</v>
      </c>
      <c r="K468" s="7">
        <v>1340.2929999999999</v>
      </c>
      <c r="L468" s="8">
        <v>1061.1780000000001</v>
      </c>
      <c r="M468" s="7">
        <v>98.725999999999999</v>
      </c>
      <c r="N468" s="7">
        <v>98.725999999999999</v>
      </c>
      <c r="O468" s="7">
        <v>9.141</v>
      </c>
      <c r="P468" s="9" t="s">
        <v>24</v>
      </c>
      <c r="Q468" s="9" t="s">
        <v>24</v>
      </c>
      <c r="R468" s="7">
        <v>12</v>
      </c>
    </row>
    <row r="469" spans="1:18" ht="17" customHeight="1" x14ac:dyDescent="0.2">
      <c r="A469" s="10" t="s">
        <v>1999</v>
      </c>
      <c r="B469" s="11" t="s">
        <v>2000</v>
      </c>
      <c r="C469" s="10" t="s">
        <v>2001</v>
      </c>
      <c r="D469" s="10" t="s">
        <v>2001</v>
      </c>
      <c r="E469" s="10" t="s">
        <v>2002</v>
      </c>
      <c r="F469" s="10" t="s">
        <v>367</v>
      </c>
      <c r="G469" s="10" t="s">
        <v>416</v>
      </c>
      <c r="H469" s="10" t="s">
        <v>121</v>
      </c>
      <c r="I469" s="10" t="str">
        <f>HYPERLINK("http://www.dialtessile.com/","www.dialtessile.com")</f>
        <v>www.dialtessile.com</v>
      </c>
      <c r="J469" s="12">
        <v>1079.4970000000001</v>
      </c>
      <c r="K469" s="12">
        <v>1079.4970000000001</v>
      </c>
      <c r="L469" s="12">
        <v>1060.883</v>
      </c>
      <c r="M469" s="12">
        <v>4.4580000000000002</v>
      </c>
      <c r="N469" s="12">
        <v>4.4580000000000002</v>
      </c>
      <c r="O469" s="12">
        <v>16.300999999999998</v>
      </c>
      <c r="P469" s="13" t="s">
        <v>24</v>
      </c>
      <c r="Q469" s="13" t="s">
        <v>24</v>
      </c>
      <c r="R469" s="12">
        <v>3</v>
      </c>
    </row>
    <row r="470" spans="1:18" ht="17" customHeight="1" x14ac:dyDescent="0.2">
      <c r="A470" s="5" t="s">
        <v>2003</v>
      </c>
      <c r="B470" s="6" t="s">
        <v>2004</v>
      </c>
      <c r="C470" s="5" t="s">
        <v>2005</v>
      </c>
      <c r="D470" s="5" t="s">
        <v>2005</v>
      </c>
      <c r="E470" s="5" t="s">
        <v>2006</v>
      </c>
      <c r="F470" s="5" t="s">
        <v>29</v>
      </c>
      <c r="G470" s="5" t="s">
        <v>135</v>
      </c>
      <c r="H470" s="5" t="s">
        <v>31</v>
      </c>
      <c r="I470" s="5" t="str">
        <f>HYPERLINK("http://www.melantoconfezioni.it/","www.melantoconfezioni.it")</f>
        <v>www.melantoconfezioni.it</v>
      </c>
      <c r="J470" s="7">
        <v>1276.066</v>
      </c>
      <c r="K470" s="7">
        <v>1276.066</v>
      </c>
      <c r="L470" s="8">
        <v>1060.4090000000001</v>
      </c>
      <c r="M470" s="7">
        <v>12.847</v>
      </c>
      <c r="N470" s="7">
        <v>12.847</v>
      </c>
      <c r="O470" s="7">
        <v>54.189</v>
      </c>
      <c r="P470" s="9" t="s">
        <v>24</v>
      </c>
      <c r="Q470" s="9" t="s">
        <v>24</v>
      </c>
      <c r="R470" s="7">
        <v>36</v>
      </c>
    </row>
    <row r="471" spans="1:18" ht="17" customHeight="1" x14ac:dyDescent="0.2">
      <c r="A471" s="10" t="s">
        <v>2007</v>
      </c>
      <c r="B471" s="11" t="s">
        <v>2008</v>
      </c>
      <c r="C471" s="10" t="s">
        <v>2009</v>
      </c>
      <c r="D471" s="10" t="s">
        <v>2009</v>
      </c>
      <c r="E471" s="10" t="s">
        <v>2010</v>
      </c>
      <c r="F471" s="10" t="s">
        <v>114</v>
      </c>
      <c r="G471" s="10" t="s">
        <v>234</v>
      </c>
      <c r="H471" s="10" t="s">
        <v>23</v>
      </c>
      <c r="I471" s="10" t="str">
        <f>HYPERLINK("http://yokigroup.it/","yokigroup.it")</f>
        <v>yokigroup.it</v>
      </c>
      <c r="J471" s="12">
        <v>825.14</v>
      </c>
      <c r="K471" s="12">
        <v>825.14</v>
      </c>
      <c r="L471" s="12">
        <v>1060.4280000000001</v>
      </c>
      <c r="M471" s="12">
        <v>42.156999999999996</v>
      </c>
      <c r="N471" s="12">
        <v>42.156999999999996</v>
      </c>
      <c r="O471" s="12">
        <v>19.108000000000001</v>
      </c>
      <c r="P471" s="13" t="s">
        <v>24</v>
      </c>
      <c r="Q471" s="13" t="s">
        <v>24</v>
      </c>
      <c r="R471" s="12">
        <v>4</v>
      </c>
    </row>
    <row r="472" spans="1:18" ht="17" customHeight="1" x14ac:dyDescent="0.2">
      <c r="A472" s="5" t="s">
        <v>2011</v>
      </c>
      <c r="B472" s="6" t="s">
        <v>2012</v>
      </c>
      <c r="C472" s="5" t="s">
        <v>2013</v>
      </c>
      <c r="D472" s="5" t="s">
        <v>2013</v>
      </c>
      <c r="E472" s="5" t="s">
        <v>2014</v>
      </c>
      <c r="F472" s="5" t="s">
        <v>134</v>
      </c>
      <c r="G472" s="5" t="s">
        <v>120</v>
      </c>
      <c r="H472" s="5" t="s">
        <v>121</v>
      </c>
      <c r="I472" s="5" t="str">
        <f>HYPERLINK("http://www.serienumerica.it/","www.serienumerica.it")</f>
        <v>www.serienumerica.it</v>
      </c>
      <c r="J472" s="7">
        <v>1306.4449999999999</v>
      </c>
      <c r="K472" s="7">
        <v>1306.4449999999999</v>
      </c>
      <c r="L472" s="8">
        <v>1059.6590000000001</v>
      </c>
      <c r="M472" s="7">
        <v>48.683999999999997</v>
      </c>
      <c r="N472" s="7">
        <v>48.683999999999997</v>
      </c>
      <c r="O472" s="7">
        <v>129.34</v>
      </c>
      <c r="P472" s="9" t="s">
        <v>24</v>
      </c>
      <c r="Q472" s="9" t="s">
        <v>24</v>
      </c>
      <c r="R472" s="7">
        <v>9</v>
      </c>
    </row>
    <row r="473" spans="1:18" ht="17" customHeight="1" x14ac:dyDescent="0.2">
      <c r="A473" s="10" t="s">
        <v>2015</v>
      </c>
      <c r="B473" s="11" t="s">
        <v>2016</v>
      </c>
      <c r="C473" s="10" t="s">
        <v>2017</v>
      </c>
      <c r="D473" s="10" t="s">
        <v>2017</v>
      </c>
      <c r="E473" s="10" t="s">
        <v>2018</v>
      </c>
      <c r="F473" s="10" t="s">
        <v>29</v>
      </c>
      <c r="G473" s="10" t="s">
        <v>1157</v>
      </c>
      <c r="H473" s="10" t="s">
        <v>1158</v>
      </c>
      <c r="I473" s="10" t="str">
        <f>HYPERLINK("http://www.essericami.it/","www.essericami.it")</f>
        <v>www.essericami.it</v>
      </c>
      <c r="J473" s="12">
        <v>1111.9000000000001</v>
      </c>
      <c r="K473" s="12">
        <v>1111.9000000000001</v>
      </c>
      <c r="L473" s="12">
        <v>1059.3389999999999</v>
      </c>
      <c r="M473" s="12">
        <v>148.661</v>
      </c>
      <c r="N473" s="12">
        <v>148.661</v>
      </c>
      <c r="O473" s="12">
        <v>162.821</v>
      </c>
      <c r="P473" s="12">
        <v>18</v>
      </c>
      <c r="Q473" s="12">
        <v>18</v>
      </c>
      <c r="R473" s="12">
        <v>14</v>
      </c>
    </row>
    <row r="474" spans="1:18" ht="55.75" customHeight="1" x14ac:dyDescent="0.2">
      <c r="A474" s="5" t="s">
        <v>2019</v>
      </c>
      <c r="B474" s="6" t="s">
        <v>2020</v>
      </c>
      <c r="C474" s="5" t="s">
        <v>2021</v>
      </c>
      <c r="D474" s="5" t="s">
        <v>2021</v>
      </c>
      <c r="E474" s="5" t="s">
        <v>2022</v>
      </c>
      <c r="F474" s="5" t="s">
        <v>462</v>
      </c>
      <c r="G474" s="5" t="s">
        <v>1157</v>
      </c>
      <c r="H474" s="5" t="s">
        <v>1158</v>
      </c>
      <c r="I474" s="5" t="str">
        <f>HYPERLINK("http://www.gwhite.it/","www.gwhite.it")</f>
        <v>www.gwhite.it</v>
      </c>
      <c r="J474" s="7">
        <v>1288.1690000000001</v>
      </c>
      <c r="K474" s="7">
        <v>1051.8789999999999</v>
      </c>
      <c r="L474" s="8">
        <v>1059.2090000000001</v>
      </c>
      <c r="M474" s="7">
        <v>38.695999999999998</v>
      </c>
      <c r="N474" s="7">
        <v>165.56200000000001</v>
      </c>
      <c r="O474" s="7">
        <v>56.151000000000003</v>
      </c>
      <c r="P474" s="7">
        <v>8</v>
      </c>
      <c r="Q474" s="7">
        <v>8</v>
      </c>
      <c r="R474" s="7">
        <v>8</v>
      </c>
    </row>
    <row r="475" spans="1:18" ht="17" customHeight="1" x14ac:dyDescent="0.2">
      <c r="A475" s="10" t="s">
        <v>2023</v>
      </c>
      <c r="B475" s="11" t="s">
        <v>2024</v>
      </c>
      <c r="C475" s="10" t="s">
        <v>2025</v>
      </c>
      <c r="D475" s="10" t="s">
        <v>2025</v>
      </c>
      <c r="E475" s="10" t="s">
        <v>2026</v>
      </c>
      <c r="F475" s="10" t="s">
        <v>72</v>
      </c>
      <c r="G475" s="10" t="s">
        <v>73</v>
      </c>
      <c r="H475" s="10" t="s">
        <v>74</v>
      </c>
      <c r="I475" s="10" t="str">
        <f>HYPERLINK("http://muracollant.com/","muracollant.com")</f>
        <v>muracollant.com</v>
      </c>
      <c r="J475" s="12">
        <v>1113.6990000000001</v>
      </c>
      <c r="K475" s="12">
        <v>1113.6990000000001</v>
      </c>
      <c r="L475" s="12">
        <v>1055.5609999999999</v>
      </c>
      <c r="M475" s="12">
        <v>7.3849999999999998</v>
      </c>
      <c r="N475" s="12">
        <v>7.3849999999999998</v>
      </c>
      <c r="O475" s="12">
        <v>24.166</v>
      </c>
      <c r="P475" s="12">
        <v>5</v>
      </c>
      <c r="Q475" s="12">
        <v>5</v>
      </c>
      <c r="R475" s="12">
        <v>5</v>
      </c>
    </row>
    <row r="476" spans="1:18" ht="17" customHeight="1" x14ac:dyDescent="0.2">
      <c r="A476" s="5" t="s">
        <v>2027</v>
      </c>
      <c r="B476" s="6" t="s">
        <v>2028</v>
      </c>
      <c r="C476" s="5" t="s">
        <v>2029</v>
      </c>
      <c r="D476" s="5" t="s">
        <v>2029</v>
      </c>
      <c r="E476" s="5" t="s">
        <v>2030</v>
      </c>
      <c r="F476" s="5" t="s">
        <v>181</v>
      </c>
      <c r="G476" s="5" t="s">
        <v>158</v>
      </c>
      <c r="H476" s="5" t="s">
        <v>159</v>
      </c>
      <c r="I476" s="5" t="str">
        <f>HYPERLINK("http://imacashmere.it/","imacashmere.it")</f>
        <v>imacashmere.it</v>
      </c>
      <c r="J476" s="7">
        <v>1441.2449999999999</v>
      </c>
      <c r="K476" s="7">
        <v>1441.2449999999999</v>
      </c>
      <c r="L476" s="8">
        <v>1054.9929999999999</v>
      </c>
      <c r="M476" s="7">
        <v>21.466000000000001</v>
      </c>
      <c r="N476" s="7">
        <v>21.466000000000001</v>
      </c>
      <c r="O476" s="7">
        <v>2.157</v>
      </c>
      <c r="P476" s="7">
        <v>10</v>
      </c>
      <c r="Q476" s="7">
        <v>10</v>
      </c>
      <c r="R476" s="7">
        <v>13</v>
      </c>
    </row>
    <row r="477" spans="1:18" ht="17" customHeight="1" x14ac:dyDescent="0.2">
      <c r="A477" s="10" t="s">
        <v>2031</v>
      </c>
      <c r="B477" s="11" t="s">
        <v>2032</v>
      </c>
      <c r="C477" s="10" t="s">
        <v>2033</v>
      </c>
      <c r="D477" s="10" t="s">
        <v>2033</v>
      </c>
      <c r="E477" s="10" t="s">
        <v>2034</v>
      </c>
      <c r="F477" s="10" t="s">
        <v>21</v>
      </c>
      <c r="G477" s="10" t="s">
        <v>79</v>
      </c>
      <c r="H477" s="10" t="s">
        <v>56</v>
      </c>
      <c r="I477" s="10" t="str">
        <f>HYPERLINK("http://www.carim.it/","www.carim.it")</f>
        <v>www.carim.it</v>
      </c>
      <c r="J477" s="12">
        <v>1199.0940000000001</v>
      </c>
      <c r="K477" s="12">
        <v>1199.0940000000001</v>
      </c>
      <c r="L477" s="12">
        <v>1050.8979999999999</v>
      </c>
      <c r="M477" s="12">
        <v>29.126000000000001</v>
      </c>
      <c r="N477" s="12">
        <v>29.126000000000001</v>
      </c>
      <c r="O477" s="12">
        <v>19.21</v>
      </c>
      <c r="P477" s="12">
        <v>7</v>
      </c>
      <c r="Q477" s="12">
        <v>7</v>
      </c>
      <c r="R477" s="12">
        <v>5</v>
      </c>
    </row>
    <row r="478" spans="1:18" ht="17" customHeight="1" x14ac:dyDescent="0.2">
      <c r="A478" s="5" t="s">
        <v>2035</v>
      </c>
      <c r="B478" s="6" t="s">
        <v>2036</v>
      </c>
      <c r="C478" s="5" t="s">
        <v>2037</v>
      </c>
      <c r="D478" s="5" t="s">
        <v>2037</v>
      </c>
      <c r="E478" s="5" t="s">
        <v>2038</v>
      </c>
      <c r="F478" s="5" t="s">
        <v>29</v>
      </c>
      <c r="G478" s="5" t="s">
        <v>115</v>
      </c>
      <c r="H478" s="5" t="s">
        <v>43</v>
      </c>
      <c r="I478" s="5" t="str">
        <f>HYPERLINK("http://arillodrink.it/","arillodrink.it")</f>
        <v>arillodrink.it</v>
      </c>
      <c r="J478" s="7">
        <v>1467.107</v>
      </c>
      <c r="K478" s="7">
        <v>1467.107</v>
      </c>
      <c r="L478" s="8">
        <v>1050.732</v>
      </c>
      <c r="M478" s="7">
        <v>69.251999999999995</v>
      </c>
      <c r="N478" s="7">
        <v>69.251999999999995</v>
      </c>
      <c r="O478" s="7">
        <v>34.130000000000003</v>
      </c>
      <c r="P478" s="7">
        <v>15</v>
      </c>
      <c r="Q478" s="7">
        <v>15</v>
      </c>
      <c r="R478" s="7">
        <v>16</v>
      </c>
    </row>
    <row r="479" spans="1:18" ht="17" customHeight="1" x14ac:dyDescent="0.2">
      <c r="A479" s="10" t="s">
        <v>2039</v>
      </c>
      <c r="B479" s="11" t="s">
        <v>2040</v>
      </c>
      <c r="C479" s="10" t="s">
        <v>2041</v>
      </c>
      <c r="D479" s="10" t="s">
        <v>2041</v>
      </c>
      <c r="E479" s="10" t="s">
        <v>2042</v>
      </c>
      <c r="F479" s="10" t="s">
        <v>114</v>
      </c>
      <c r="G479" s="10" t="s">
        <v>100</v>
      </c>
      <c r="H479" s="10" t="s">
        <v>62</v>
      </c>
      <c r="I479" s="10" t="str">
        <f>HYPERLINK("http://www.annasirico.it/","www.annasirico.it")</f>
        <v>www.annasirico.it</v>
      </c>
      <c r="J479" s="12">
        <v>884.73500000000001</v>
      </c>
      <c r="K479" s="12">
        <v>884.73500000000001</v>
      </c>
      <c r="L479" s="12">
        <v>1050.316</v>
      </c>
      <c r="M479" s="12">
        <v>26.998999999999999</v>
      </c>
      <c r="N479" s="12">
        <v>26.998999999999999</v>
      </c>
      <c r="O479" s="12">
        <v>21.943000000000001</v>
      </c>
      <c r="P479" s="12">
        <v>5</v>
      </c>
      <c r="Q479" s="12">
        <v>5</v>
      </c>
      <c r="R479" s="12">
        <v>4</v>
      </c>
    </row>
    <row r="480" spans="1:18" ht="43" customHeight="1" x14ac:dyDescent="0.2">
      <c r="A480" s="5" t="s">
        <v>2043</v>
      </c>
      <c r="B480" s="6" t="s">
        <v>2044</v>
      </c>
      <c r="C480" s="5" t="s">
        <v>2045</v>
      </c>
      <c r="D480" s="5" t="s">
        <v>2045</v>
      </c>
      <c r="E480" s="5" t="s">
        <v>2046</v>
      </c>
      <c r="F480" s="5" t="s">
        <v>462</v>
      </c>
      <c r="G480" s="5" t="s">
        <v>2047</v>
      </c>
      <c r="H480" s="5" t="s">
        <v>2048</v>
      </c>
      <c r="I480" s="5" t="str">
        <f>HYPERLINK("http://lucanaintimo.com/","lucanaintimo.com")</f>
        <v>lucanaintimo.com</v>
      </c>
      <c r="J480" s="7">
        <v>1036.9269999999999</v>
      </c>
      <c r="K480" s="7">
        <v>1036.9269999999999</v>
      </c>
      <c r="L480" s="8">
        <v>1049.99</v>
      </c>
      <c r="M480" s="7">
        <v>21.751999999999999</v>
      </c>
      <c r="N480" s="7">
        <v>21.751999999999999</v>
      </c>
      <c r="O480" s="7">
        <v>11.808999999999999</v>
      </c>
      <c r="P480" s="7">
        <v>0</v>
      </c>
      <c r="Q480" s="7">
        <v>0</v>
      </c>
      <c r="R480" s="7">
        <v>0</v>
      </c>
    </row>
    <row r="481" spans="1:18" ht="17" customHeight="1" x14ac:dyDescent="0.2">
      <c r="A481" s="10" t="s">
        <v>2049</v>
      </c>
      <c r="B481" s="11" t="s">
        <v>2050</v>
      </c>
      <c r="C481" s="10" t="s">
        <v>2051</v>
      </c>
      <c r="D481" s="10" t="s">
        <v>2051</v>
      </c>
      <c r="E481" s="10" t="s">
        <v>2052</v>
      </c>
      <c r="F481" s="10" t="s">
        <v>105</v>
      </c>
      <c r="G481" s="10" t="s">
        <v>120</v>
      </c>
      <c r="H481" s="10" t="s">
        <v>121</v>
      </c>
      <c r="I481" s="10" t="str">
        <f>HYPERLINK("http://camerucci.com/","camerucci.com")</f>
        <v>camerucci.com</v>
      </c>
      <c r="J481" s="12">
        <v>1143.615</v>
      </c>
      <c r="K481" s="12">
        <v>1143.615</v>
      </c>
      <c r="L481" s="12">
        <v>1049.643</v>
      </c>
      <c r="M481" s="12">
        <v>16.541</v>
      </c>
      <c r="N481" s="12">
        <v>16.541</v>
      </c>
      <c r="O481" s="12">
        <v>39.76</v>
      </c>
      <c r="P481" s="12">
        <v>2</v>
      </c>
      <c r="Q481" s="12">
        <v>2</v>
      </c>
      <c r="R481" s="12">
        <v>2</v>
      </c>
    </row>
    <row r="482" spans="1:18" ht="17" customHeight="1" x14ac:dyDescent="0.2">
      <c r="A482" s="5" t="s">
        <v>2053</v>
      </c>
      <c r="B482" s="6" t="s">
        <v>2054</v>
      </c>
      <c r="C482" s="5" t="s">
        <v>2055</v>
      </c>
      <c r="D482" s="5" t="s">
        <v>2055</v>
      </c>
      <c r="E482" s="5" t="s">
        <v>2056</v>
      </c>
      <c r="F482" s="5" t="s">
        <v>72</v>
      </c>
      <c r="G482" s="5" t="s">
        <v>293</v>
      </c>
      <c r="H482" s="5" t="s">
        <v>74</v>
      </c>
      <c r="I482" s="5" t="str">
        <f>HYPERLINK("http://calzificiolualdi.it/","calzificiolualdi.it")</f>
        <v>calzificiolualdi.it</v>
      </c>
      <c r="J482" s="7">
        <v>844.69</v>
      </c>
      <c r="K482" s="7">
        <v>844.69</v>
      </c>
      <c r="L482" s="8">
        <v>1049.623</v>
      </c>
      <c r="M482" s="7">
        <v>17.423999999999999</v>
      </c>
      <c r="N482" s="7">
        <v>17.423999999999999</v>
      </c>
      <c r="O482" s="7">
        <v>17.163</v>
      </c>
      <c r="P482" s="7">
        <v>6</v>
      </c>
      <c r="Q482" s="7">
        <v>6</v>
      </c>
      <c r="R482" s="7">
        <v>8</v>
      </c>
    </row>
    <row r="483" spans="1:18" ht="17" customHeight="1" x14ac:dyDescent="0.2">
      <c r="A483" s="10" t="s">
        <v>2057</v>
      </c>
      <c r="B483" s="11" t="s">
        <v>2058</v>
      </c>
      <c r="C483" s="10" t="s">
        <v>2059</v>
      </c>
      <c r="D483" s="10" t="s">
        <v>2059</v>
      </c>
      <c r="E483" s="10" t="s">
        <v>2060</v>
      </c>
      <c r="F483" s="10" t="s">
        <v>29</v>
      </c>
      <c r="G483" s="10" t="s">
        <v>49</v>
      </c>
      <c r="H483" s="10" t="s">
        <v>23</v>
      </c>
      <c r="I483" s="10" t="str">
        <f>HYPERLINK("http://www.mugellopromotional.it/","www.mugellopromotional.it")</f>
        <v>www.mugellopromotional.it</v>
      </c>
      <c r="J483" s="12">
        <v>1024.1600000000001</v>
      </c>
      <c r="K483" s="12">
        <v>1024.1600000000001</v>
      </c>
      <c r="L483" s="12">
        <v>1049.32</v>
      </c>
      <c r="M483" s="12">
        <v>80.730999999999995</v>
      </c>
      <c r="N483" s="12">
        <v>80.730999999999995</v>
      </c>
      <c r="O483" s="12">
        <v>144.96199999999999</v>
      </c>
      <c r="P483" s="12">
        <v>7</v>
      </c>
      <c r="Q483" s="12">
        <v>7</v>
      </c>
      <c r="R483" s="12">
        <v>9</v>
      </c>
    </row>
    <row r="484" spans="1:18" ht="17" customHeight="1" x14ac:dyDescent="0.2">
      <c r="A484" s="5" t="s">
        <v>2061</v>
      </c>
      <c r="B484" s="6" t="s">
        <v>2062</v>
      </c>
      <c r="C484" s="5" t="s">
        <v>2063</v>
      </c>
      <c r="D484" s="5" t="s">
        <v>2063</v>
      </c>
      <c r="E484" s="5" t="s">
        <v>2064</v>
      </c>
      <c r="F484" s="5" t="s">
        <v>376</v>
      </c>
      <c r="G484" s="5" t="s">
        <v>552</v>
      </c>
      <c r="H484" s="5" t="s">
        <v>74</v>
      </c>
      <c r="I484" s="5" t="str">
        <f>HYPERLINK("http://www.due-effe.it/","www.due-effe.it")</f>
        <v>www.due-effe.it</v>
      </c>
      <c r="J484" s="7">
        <v>1015.662</v>
      </c>
      <c r="K484" s="7">
        <v>1015.662</v>
      </c>
      <c r="L484" s="8">
        <v>1048.202</v>
      </c>
      <c r="M484" s="7">
        <v>16.548999999999999</v>
      </c>
      <c r="N484" s="7">
        <v>16.548999999999999</v>
      </c>
      <c r="O484" s="7">
        <v>35.972000000000001</v>
      </c>
      <c r="P484" s="9" t="s">
        <v>24</v>
      </c>
      <c r="Q484" s="9" t="s">
        <v>24</v>
      </c>
      <c r="R484" s="7">
        <v>9</v>
      </c>
    </row>
    <row r="485" spans="1:18" ht="17" customHeight="1" x14ac:dyDescent="0.2">
      <c r="A485" s="10" t="s">
        <v>2065</v>
      </c>
      <c r="B485" s="11" t="s">
        <v>2066</v>
      </c>
      <c r="C485" s="10" t="s">
        <v>2067</v>
      </c>
      <c r="D485" s="10" t="s">
        <v>2067</v>
      </c>
      <c r="E485" s="10" t="s">
        <v>2068</v>
      </c>
      <c r="F485" s="10" t="s">
        <v>41</v>
      </c>
      <c r="G485" s="10" t="s">
        <v>224</v>
      </c>
      <c r="H485" s="10" t="s">
        <v>23</v>
      </c>
      <c r="I485" s="10" t="str">
        <f>HYPERLINK("http://www.nuovaflex.it/","www.nuovaflex.it")</f>
        <v>www.nuovaflex.it</v>
      </c>
      <c r="J485" s="12">
        <v>953.61</v>
      </c>
      <c r="K485" s="12">
        <v>953.61</v>
      </c>
      <c r="L485" s="12">
        <v>1047.778</v>
      </c>
      <c r="M485" s="12">
        <v>-243.46799999999999</v>
      </c>
      <c r="N485" s="12">
        <v>-243.46799999999999</v>
      </c>
      <c r="O485" s="12">
        <v>-189.30699999999999</v>
      </c>
      <c r="P485" s="12">
        <v>9</v>
      </c>
      <c r="Q485" s="12">
        <v>9</v>
      </c>
      <c r="R485" s="12">
        <v>9</v>
      </c>
    </row>
    <row r="486" spans="1:18" ht="17" customHeight="1" x14ac:dyDescent="0.2">
      <c r="A486" s="5" t="s">
        <v>2069</v>
      </c>
      <c r="B486" s="6" t="s">
        <v>2070</v>
      </c>
      <c r="C486" s="5" t="s">
        <v>2071</v>
      </c>
      <c r="D486" s="5" t="s">
        <v>2071</v>
      </c>
      <c r="E486" s="5" t="s">
        <v>2072</v>
      </c>
      <c r="F486" s="5" t="s">
        <v>48</v>
      </c>
      <c r="G486" s="5" t="s">
        <v>176</v>
      </c>
      <c r="H486" s="5" t="s">
        <v>56</v>
      </c>
      <c r="I486" s="5" t="str">
        <f>HYPERLINK("http://www.zanchetti.eu/","www.zanchetti.eu")</f>
        <v>www.zanchetti.eu</v>
      </c>
      <c r="J486" s="7">
        <v>913.97199999999998</v>
      </c>
      <c r="K486" s="7">
        <v>913.97199999999998</v>
      </c>
      <c r="L486" s="8">
        <v>1046.9570000000001</v>
      </c>
      <c r="M486" s="7">
        <v>88.781000000000006</v>
      </c>
      <c r="N486" s="7">
        <v>88.781000000000006</v>
      </c>
      <c r="O486" s="7">
        <v>88.32</v>
      </c>
      <c r="P486" s="7">
        <v>2</v>
      </c>
      <c r="Q486" s="7">
        <v>2</v>
      </c>
      <c r="R486" s="7">
        <v>2</v>
      </c>
    </row>
    <row r="487" spans="1:18" ht="17" customHeight="1" x14ac:dyDescent="0.2">
      <c r="A487" s="10" t="s">
        <v>2073</v>
      </c>
      <c r="B487" s="11" t="s">
        <v>2074</v>
      </c>
      <c r="C487" s="10" t="s">
        <v>2075</v>
      </c>
      <c r="D487" s="10" t="s">
        <v>2075</v>
      </c>
      <c r="E487" s="10" t="s">
        <v>2076</v>
      </c>
      <c r="F487" s="10" t="s">
        <v>482</v>
      </c>
      <c r="G487" s="10" t="s">
        <v>55</v>
      </c>
      <c r="H487" s="10" t="s">
        <v>56</v>
      </c>
      <c r="I487" s="10" t="str">
        <f>HYPERLINK("http://www.recordbags.it/","www.recordbags.it")</f>
        <v>www.recordbags.it</v>
      </c>
      <c r="J487" s="12">
        <v>1348.8209999999999</v>
      </c>
      <c r="K487" s="12">
        <v>1348.8209999999999</v>
      </c>
      <c r="L487" s="12">
        <v>1045.875</v>
      </c>
      <c r="M487" s="12">
        <v>83.251999999999995</v>
      </c>
      <c r="N487" s="12">
        <v>83.251999999999995</v>
      </c>
      <c r="O487" s="12">
        <v>59.29</v>
      </c>
      <c r="P487" s="12">
        <v>9</v>
      </c>
      <c r="Q487" s="12">
        <v>9</v>
      </c>
      <c r="R487" s="12">
        <v>7</v>
      </c>
    </row>
    <row r="488" spans="1:18" ht="17" customHeight="1" x14ac:dyDescent="0.2">
      <c r="A488" s="5" t="s">
        <v>2077</v>
      </c>
      <c r="B488" s="6" t="s">
        <v>2078</v>
      </c>
      <c r="C488" s="5" t="s">
        <v>2079</v>
      </c>
      <c r="D488" s="5" t="s">
        <v>2079</v>
      </c>
      <c r="E488" s="5" t="s">
        <v>2080</v>
      </c>
      <c r="F488" s="5" t="s">
        <v>48</v>
      </c>
      <c r="G488" s="5" t="s">
        <v>89</v>
      </c>
      <c r="H488" s="5" t="s">
        <v>56</v>
      </c>
      <c r="I488" s="5" t="str">
        <f>HYPERLINK("http://www.stefyline.com/","www.stefyline.com")</f>
        <v>www.stefyline.com</v>
      </c>
      <c r="J488" s="7">
        <v>1112.306</v>
      </c>
      <c r="K488" s="7">
        <v>1112.306</v>
      </c>
      <c r="L488" s="8">
        <v>1044.1130000000001</v>
      </c>
      <c r="M488" s="7">
        <v>2.831</v>
      </c>
      <c r="N488" s="7">
        <v>2.831</v>
      </c>
      <c r="O488" s="7">
        <v>1.236</v>
      </c>
      <c r="P488" s="7">
        <v>6</v>
      </c>
      <c r="Q488" s="7">
        <v>6</v>
      </c>
      <c r="R488" s="7">
        <v>5</v>
      </c>
    </row>
    <row r="489" spans="1:18" ht="17" customHeight="1" x14ac:dyDescent="0.2">
      <c r="A489" s="10" t="s">
        <v>2081</v>
      </c>
      <c r="B489" s="11" t="s">
        <v>2082</v>
      </c>
      <c r="C489" s="10" t="s">
        <v>2083</v>
      </c>
      <c r="D489" s="10" t="s">
        <v>2083</v>
      </c>
      <c r="E489" s="10" t="s">
        <v>2084</v>
      </c>
      <c r="F489" s="10" t="s">
        <v>48</v>
      </c>
      <c r="G489" s="10" t="s">
        <v>293</v>
      </c>
      <c r="H489" s="10" t="s">
        <v>74</v>
      </c>
      <c r="I489" s="10" t="str">
        <f>HYPERLINK("http://clericiebrambati.it/","clericiebrambati.it")</f>
        <v>clericiebrambati.it</v>
      </c>
      <c r="J489" s="12">
        <v>1005.787</v>
      </c>
      <c r="K489" s="12">
        <v>1005.787</v>
      </c>
      <c r="L489" s="12">
        <v>1043.306</v>
      </c>
      <c r="M489" s="12">
        <v>162.17500000000001</v>
      </c>
      <c r="N489" s="12">
        <v>162.17500000000001</v>
      </c>
      <c r="O489" s="12">
        <v>207.96700000000001</v>
      </c>
      <c r="P489" s="12">
        <v>11</v>
      </c>
      <c r="Q489" s="12">
        <v>11</v>
      </c>
      <c r="R489" s="12">
        <v>9</v>
      </c>
    </row>
    <row r="490" spans="1:18" ht="17" customHeight="1" x14ac:dyDescent="0.2">
      <c r="A490" s="5" t="s">
        <v>2085</v>
      </c>
      <c r="B490" s="6" t="s">
        <v>2086</v>
      </c>
      <c r="C490" s="5" t="s">
        <v>2087</v>
      </c>
      <c r="D490" s="5" t="s">
        <v>2088</v>
      </c>
      <c r="E490" s="5" t="s">
        <v>2089</v>
      </c>
      <c r="F490" s="5" t="s">
        <v>29</v>
      </c>
      <c r="G490" s="5" t="s">
        <v>308</v>
      </c>
      <c r="H490" s="5" t="s">
        <v>299</v>
      </c>
      <c r="I490" s="5" t="str">
        <f>HYPERLINK("http://www.tiemmeexport.com/","www.tiemmeexport.com")</f>
        <v>www.tiemmeexport.com</v>
      </c>
      <c r="J490" s="7">
        <v>960.71699999999998</v>
      </c>
      <c r="K490" s="7">
        <v>960.71699999999998</v>
      </c>
      <c r="L490" s="8">
        <v>1042.405</v>
      </c>
      <c r="M490" s="7">
        <v>-34.790999999999997</v>
      </c>
      <c r="N490" s="7">
        <v>-34.790999999999997</v>
      </c>
      <c r="O490" s="7">
        <v>6.0419999999999998</v>
      </c>
      <c r="P490" s="7">
        <v>3</v>
      </c>
      <c r="Q490" s="7">
        <v>3</v>
      </c>
      <c r="R490" s="7">
        <v>3</v>
      </c>
    </row>
    <row r="491" spans="1:18" ht="17" customHeight="1" x14ac:dyDescent="0.2">
      <c r="A491" s="10" t="s">
        <v>2090</v>
      </c>
      <c r="B491" s="11" t="s">
        <v>2091</v>
      </c>
      <c r="C491" s="10" t="s">
        <v>2092</v>
      </c>
      <c r="D491" s="10" t="s">
        <v>2092</v>
      </c>
      <c r="E491" s="10" t="s">
        <v>2093</v>
      </c>
      <c r="F491" s="10" t="s">
        <v>54</v>
      </c>
      <c r="G491" s="10" t="s">
        <v>89</v>
      </c>
      <c r="H491" s="10" t="s">
        <v>56</v>
      </c>
      <c r="I491" s="10" t="str">
        <f>HYPERLINK("http://ricamificioferrara.it/","ricamificioferrara.it")</f>
        <v>ricamificioferrara.it</v>
      </c>
      <c r="J491" s="12">
        <v>965.649</v>
      </c>
      <c r="K491" s="12">
        <v>965.649</v>
      </c>
      <c r="L491" s="12">
        <v>1041.7750000000001</v>
      </c>
      <c r="M491" s="12">
        <v>21.768000000000001</v>
      </c>
      <c r="N491" s="12">
        <v>21.768000000000001</v>
      </c>
      <c r="O491" s="12">
        <v>66.408000000000001</v>
      </c>
      <c r="P491" s="12">
        <v>13</v>
      </c>
      <c r="Q491" s="12">
        <v>13</v>
      </c>
      <c r="R491" s="12">
        <v>12</v>
      </c>
    </row>
    <row r="492" spans="1:18" ht="17" customHeight="1" x14ac:dyDescent="0.2">
      <c r="A492" s="5" t="s">
        <v>2094</v>
      </c>
      <c r="B492" s="6" t="s">
        <v>2095</v>
      </c>
      <c r="C492" s="5" t="s">
        <v>2096</v>
      </c>
      <c r="D492" s="5" t="s">
        <v>2096</v>
      </c>
      <c r="E492" s="5" t="s">
        <v>2097</v>
      </c>
      <c r="F492" s="5" t="s">
        <v>105</v>
      </c>
      <c r="G492" s="5" t="s">
        <v>253</v>
      </c>
      <c r="H492" s="5" t="s">
        <v>56</v>
      </c>
      <c r="I492" s="5" t="str">
        <f>HYPERLINK("http://www.imispa.com/","www.imispa.com")</f>
        <v>www.imispa.com</v>
      </c>
      <c r="J492" s="7">
        <v>1041.146</v>
      </c>
      <c r="K492" s="9" t="s">
        <v>24</v>
      </c>
      <c r="L492" s="8">
        <v>1041.146</v>
      </c>
      <c r="M492" s="7">
        <v>84.305000000000007</v>
      </c>
      <c r="N492" s="9" t="s">
        <v>24</v>
      </c>
      <c r="O492" s="7">
        <v>84.305000000000007</v>
      </c>
      <c r="P492" s="7">
        <v>2</v>
      </c>
      <c r="Q492" s="9" t="s">
        <v>24</v>
      </c>
      <c r="R492" s="7">
        <v>2</v>
      </c>
    </row>
    <row r="493" spans="1:18" ht="17" customHeight="1" x14ac:dyDescent="0.2">
      <c r="A493" s="10" t="s">
        <v>2098</v>
      </c>
      <c r="B493" s="11" t="s">
        <v>2099</v>
      </c>
      <c r="C493" s="10" t="s">
        <v>2100</v>
      </c>
      <c r="D493" s="10" t="s">
        <v>2100</v>
      </c>
      <c r="E493" s="10" t="s">
        <v>2101</v>
      </c>
      <c r="F493" s="10" t="s">
        <v>21</v>
      </c>
      <c r="G493" s="10" t="s">
        <v>61</v>
      </c>
      <c r="H493" s="10" t="s">
        <v>62</v>
      </c>
      <c r="I493" s="10" t="str">
        <f>HYPERLINK("http://www.martoncalzature.it/","www.martoncalzature.it")</f>
        <v>www.martoncalzature.it</v>
      </c>
      <c r="J493" s="12">
        <v>1670.1220000000001</v>
      </c>
      <c r="K493" s="12">
        <v>1670.1220000000001</v>
      </c>
      <c r="L493" s="12">
        <v>1040.8040000000001</v>
      </c>
      <c r="M493" s="12">
        <v>34.795999999999999</v>
      </c>
      <c r="N493" s="12">
        <v>34.795999999999999</v>
      </c>
      <c r="O493" s="12">
        <v>20.753</v>
      </c>
      <c r="P493" s="12">
        <v>14</v>
      </c>
      <c r="Q493" s="12">
        <v>14</v>
      </c>
      <c r="R493" s="12">
        <v>9</v>
      </c>
    </row>
    <row r="494" spans="1:18" ht="43" customHeight="1" x14ac:dyDescent="0.2">
      <c r="A494" s="5" t="s">
        <v>2102</v>
      </c>
      <c r="B494" s="6" t="s">
        <v>2103</v>
      </c>
      <c r="C494" s="5" t="s">
        <v>2104</v>
      </c>
      <c r="D494" s="5" t="s">
        <v>2104</v>
      </c>
      <c r="E494" s="5" t="s">
        <v>2105</v>
      </c>
      <c r="F494" s="5" t="s">
        <v>134</v>
      </c>
      <c r="G494" s="5" t="s">
        <v>100</v>
      </c>
      <c r="H494" s="5" t="s">
        <v>62</v>
      </c>
      <c r="I494" s="5" t="str">
        <f>HYPERLINK("http://fratelliragusa.it/","fratelliragusa.it")</f>
        <v>fratelliragusa.it</v>
      </c>
      <c r="J494" s="7">
        <v>809.221</v>
      </c>
      <c r="K494" s="7">
        <v>809.221</v>
      </c>
      <c r="L494" s="8">
        <v>1040.2439999999999</v>
      </c>
      <c r="M494" s="7">
        <v>-2.7440000000000002</v>
      </c>
      <c r="N494" s="7">
        <v>-2.7440000000000002</v>
      </c>
      <c r="O494" s="7">
        <v>24.158000000000001</v>
      </c>
      <c r="P494" s="9" t="s">
        <v>24</v>
      </c>
      <c r="Q494" s="9" t="s">
        <v>24</v>
      </c>
      <c r="R494" s="7">
        <v>4</v>
      </c>
    </row>
    <row r="495" spans="1:18" ht="29.5" customHeight="1" x14ac:dyDescent="0.2">
      <c r="A495" s="10" t="s">
        <v>2106</v>
      </c>
      <c r="B495" s="11" t="s">
        <v>2107</v>
      </c>
      <c r="C495" s="10" t="s">
        <v>2108</v>
      </c>
      <c r="D495" s="10" t="s">
        <v>2108</v>
      </c>
      <c r="E495" s="10" t="s">
        <v>2109</v>
      </c>
      <c r="F495" s="10" t="s">
        <v>114</v>
      </c>
      <c r="G495" s="10" t="s">
        <v>298</v>
      </c>
      <c r="H495" s="10" t="s">
        <v>299</v>
      </c>
      <c r="I495" s="10" t="str">
        <f>HYPERLINK("http://www.pieghettaturapecorari.it/","www.pieghettaturapecorari.it")</f>
        <v>www.pieghettaturapecorari.it</v>
      </c>
      <c r="J495" s="12">
        <v>1137.3820000000001</v>
      </c>
      <c r="K495" s="12">
        <v>1137.3820000000001</v>
      </c>
      <c r="L495" s="12">
        <v>1039.896</v>
      </c>
      <c r="M495" s="12">
        <v>201.26900000000001</v>
      </c>
      <c r="N495" s="12">
        <v>201.26900000000001</v>
      </c>
      <c r="O495" s="12">
        <v>106.876</v>
      </c>
      <c r="P495" s="13" t="s">
        <v>24</v>
      </c>
      <c r="Q495" s="13" t="s">
        <v>24</v>
      </c>
      <c r="R495" s="12">
        <v>9</v>
      </c>
    </row>
    <row r="496" spans="1:18" ht="17" customHeight="1" x14ac:dyDescent="0.2">
      <c r="A496" s="5" t="s">
        <v>2110</v>
      </c>
      <c r="B496" s="6" t="s">
        <v>2111</v>
      </c>
      <c r="C496" s="5" t="s">
        <v>2112</v>
      </c>
      <c r="D496" s="5" t="s">
        <v>2112</v>
      </c>
      <c r="E496" s="5" t="s">
        <v>2113</v>
      </c>
      <c r="F496" s="5" t="s">
        <v>48</v>
      </c>
      <c r="G496" s="5" t="s">
        <v>49</v>
      </c>
      <c r="H496" s="5" t="s">
        <v>23</v>
      </c>
      <c r="I496" s="5" t="str">
        <f>HYPERLINK("http://www.fondo9.it/","www.fondo9.it")</f>
        <v>www.fondo9.it</v>
      </c>
      <c r="J496" s="7">
        <v>903.70500000000004</v>
      </c>
      <c r="K496" s="7">
        <v>903.70500000000004</v>
      </c>
      <c r="L496" s="8">
        <v>1039.2919999999999</v>
      </c>
      <c r="M496" s="7">
        <v>7.8849999999999998</v>
      </c>
      <c r="N496" s="7">
        <v>7.8849999999999998</v>
      </c>
      <c r="O496" s="7">
        <v>17.719000000000001</v>
      </c>
      <c r="P496" s="7">
        <v>20</v>
      </c>
      <c r="Q496" s="7">
        <v>20</v>
      </c>
      <c r="R496" s="7">
        <v>16</v>
      </c>
    </row>
    <row r="497" spans="1:18" ht="17" customHeight="1" x14ac:dyDescent="0.2">
      <c r="A497" s="10" t="s">
        <v>2114</v>
      </c>
      <c r="B497" s="11" t="s">
        <v>2115</v>
      </c>
      <c r="C497" s="10" t="s">
        <v>2116</v>
      </c>
      <c r="D497" s="10" t="s">
        <v>2116</v>
      </c>
      <c r="E497" s="10" t="s">
        <v>2117</v>
      </c>
      <c r="F497" s="10" t="s">
        <v>367</v>
      </c>
      <c r="G497" s="10" t="s">
        <v>176</v>
      </c>
      <c r="H497" s="10" t="s">
        <v>56</v>
      </c>
      <c r="I497" s="10" t="str">
        <f>HYPERLINK("http://www.annabdivise.it/","www.annabdivise.it")</f>
        <v>www.annabdivise.it</v>
      </c>
      <c r="J497" s="12">
        <v>1524.654</v>
      </c>
      <c r="K497" s="12">
        <v>1524.654</v>
      </c>
      <c r="L497" s="12">
        <v>1037.6859999999999</v>
      </c>
      <c r="M497" s="12">
        <v>48.713000000000001</v>
      </c>
      <c r="N497" s="12">
        <v>48.713000000000001</v>
      </c>
      <c r="O497" s="12">
        <v>39.616999999999997</v>
      </c>
      <c r="P497" s="12">
        <v>4</v>
      </c>
      <c r="Q497" s="12">
        <v>4</v>
      </c>
      <c r="R497" s="12">
        <v>5</v>
      </c>
    </row>
    <row r="498" spans="1:18" ht="17" customHeight="1" x14ac:dyDescent="0.2">
      <c r="A498" s="5" t="s">
        <v>2118</v>
      </c>
      <c r="B498" s="6" t="s">
        <v>2119</v>
      </c>
      <c r="C498" s="5" t="s">
        <v>2120</v>
      </c>
      <c r="D498" s="5" t="s">
        <v>2120</v>
      </c>
      <c r="E498" s="5" t="s">
        <v>2121</v>
      </c>
      <c r="F498" s="5" t="s">
        <v>21</v>
      </c>
      <c r="G498" s="5" t="s">
        <v>22</v>
      </c>
      <c r="H498" s="5" t="s">
        <v>23</v>
      </c>
      <c r="I498" s="5" t="str">
        <f>HYPERLINK("http://www.bozzasiti.space/","www.bozzasiti.space")</f>
        <v>www.bozzasiti.space</v>
      </c>
      <c r="J498" s="7">
        <v>895.65700000000004</v>
      </c>
      <c r="K498" s="7">
        <v>895.65700000000004</v>
      </c>
      <c r="L498" s="8">
        <v>1036.5329999999999</v>
      </c>
      <c r="M498" s="7">
        <v>8.44</v>
      </c>
      <c r="N498" s="7">
        <v>8.44</v>
      </c>
      <c r="O498" s="7">
        <v>17.831</v>
      </c>
      <c r="P498" s="9" t="s">
        <v>24</v>
      </c>
      <c r="Q498" s="9" t="s">
        <v>24</v>
      </c>
      <c r="R498" s="7">
        <v>3</v>
      </c>
    </row>
    <row r="499" spans="1:18" ht="17" customHeight="1" x14ac:dyDescent="0.2">
      <c r="A499" s="10" t="s">
        <v>2122</v>
      </c>
      <c r="B499" s="11" t="s">
        <v>2123</v>
      </c>
      <c r="C499" s="10" t="s">
        <v>2124</v>
      </c>
      <c r="D499" s="10" t="s">
        <v>2125</v>
      </c>
      <c r="E499" s="10" t="s">
        <v>2126</v>
      </c>
      <c r="F499" s="10" t="s">
        <v>72</v>
      </c>
      <c r="G499" s="10" t="s">
        <v>676</v>
      </c>
      <c r="H499" s="10" t="s">
        <v>74</v>
      </c>
      <c r="I499" s="10" t="str">
        <f>HYPERLINK("http://www.walkstreet.it/","www.walkstreet.it")</f>
        <v>www.walkstreet.it</v>
      </c>
      <c r="J499" s="12">
        <v>1268.758</v>
      </c>
      <c r="K499" s="12">
        <v>1268.758</v>
      </c>
      <c r="L499" s="12">
        <v>1035.4570000000001</v>
      </c>
      <c r="M499" s="12">
        <v>63.526000000000003</v>
      </c>
      <c r="N499" s="12">
        <v>63.526000000000003</v>
      </c>
      <c r="O499" s="12">
        <v>2.2090000000000001</v>
      </c>
      <c r="P499" s="13" t="s">
        <v>24</v>
      </c>
      <c r="Q499" s="13" t="s">
        <v>24</v>
      </c>
      <c r="R499" s="12">
        <v>3</v>
      </c>
    </row>
    <row r="500" spans="1:18" ht="29.5" customHeight="1" x14ac:dyDescent="0.2">
      <c r="A500" s="5" t="s">
        <v>2127</v>
      </c>
      <c r="B500" s="6" t="s">
        <v>2128</v>
      </c>
      <c r="C500" s="5" t="s">
        <v>2129</v>
      </c>
      <c r="D500" s="5" t="s">
        <v>2129</v>
      </c>
      <c r="E500" s="5" t="s">
        <v>2130</v>
      </c>
      <c r="F500" s="5" t="s">
        <v>114</v>
      </c>
      <c r="G500" s="5" t="s">
        <v>274</v>
      </c>
      <c r="H500" s="5" t="s">
        <v>31</v>
      </c>
      <c r="I500" s="5" t="str">
        <f>HYPERLINK("http://www.gruppotesmed.com/","www.gruppotesmed.com")</f>
        <v>www.gruppotesmed.com</v>
      </c>
      <c r="J500" s="7">
        <v>605.88800000000003</v>
      </c>
      <c r="K500" s="7">
        <v>605.88800000000003</v>
      </c>
      <c r="L500" s="8">
        <v>1034.808</v>
      </c>
      <c r="M500" s="7">
        <v>6.569</v>
      </c>
      <c r="N500" s="7">
        <v>6.569</v>
      </c>
      <c r="O500" s="7">
        <v>21.170999999999999</v>
      </c>
      <c r="P500" s="7">
        <v>4</v>
      </c>
      <c r="Q500" s="7">
        <v>4</v>
      </c>
      <c r="R500" s="7">
        <v>4</v>
      </c>
    </row>
    <row r="501" spans="1:18" ht="17" customHeight="1" x14ac:dyDescent="0.2">
      <c r="A501" s="10" t="s">
        <v>2131</v>
      </c>
      <c r="B501" s="11" t="s">
        <v>2132</v>
      </c>
      <c r="C501" s="10" t="s">
        <v>2133</v>
      </c>
      <c r="D501" s="10" t="s">
        <v>2133</v>
      </c>
      <c r="E501" s="10" t="s">
        <v>2134</v>
      </c>
      <c r="F501" s="10" t="s">
        <v>41</v>
      </c>
      <c r="G501" s="10" t="s">
        <v>224</v>
      </c>
      <c r="H501" s="10" t="s">
        <v>23</v>
      </c>
      <c r="I501" s="10" t="str">
        <f>HYPERLINK("http://www.conceriaprima.com/","www.conceriaprima.com")</f>
        <v>www.conceriaprima.com</v>
      </c>
      <c r="J501" s="12">
        <v>1019.479</v>
      </c>
      <c r="K501" s="12">
        <v>1019.479</v>
      </c>
      <c r="L501" s="12">
        <v>1033.0640000000001</v>
      </c>
      <c r="M501" s="12">
        <v>-28.135000000000002</v>
      </c>
      <c r="N501" s="12">
        <v>-28.135000000000002</v>
      </c>
      <c r="O501" s="12">
        <v>29.734999999999999</v>
      </c>
      <c r="P501" s="12">
        <v>7</v>
      </c>
      <c r="Q501" s="12">
        <v>7</v>
      </c>
      <c r="R501" s="12">
        <v>7</v>
      </c>
    </row>
    <row r="502" spans="1:18" ht="17" customHeight="1" x14ac:dyDescent="0.2">
      <c r="A502" s="5" t="s">
        <v>2135</v>
      </c>
      <c r="B502" s="6" t="s">
        <v>2136</v>
      </c>
      <c r="C502" s="5" t="s">
        <v>2137</v>
      </c>
      <c r="D502" s="5" t="s">
        <v>2137</v>
      </c>
      <c r="E502" s="5" t="s">
        <v>2138</v>
      </c>
      <c r="F502" s="5" t="s">
        <v>114</v>
      </c>
      <c r="G502" s="5" t="s">
        <v>2139</v>
      </c>
      <c r="H502" s="5" t="s">
        <v>2140</v>
      </c>
      <c r="I502" s="5" t="str">
        <f>HYPERLINK("http://www.fashionpointsrl.it/","www.fashionpointsrl.it")</f>
        <v>www.fashionpointsrl.it</v>
      </c>
      <c r="J502" s="7">
        <v>890.83100000000002</v>
      </c>
      <c r="K502" s="7">
        <v>890.83100000000002</v>
      </c>
      <c r="L502" s="8">
        <v>1032.655</v>
      </c>
      <c r="M502" s="7">
        <v>6.2</v>
      </c>
      <c r="N502" s="7">
        <v>6.2</v>
      </c>
      <c r="O502" s="7">
        <v>64.454999999999998</v>
      </c>
      <c r="P502" s="7">
        <v>15</v>
      </c>
      <c r="Q502" s="7">
        <v>15</v>
      </c>
      <c r="R502" s="7">
        <v>15</v>
      </c>
    </row>
    <row r="503" spans="1:18" ht="17" customHeight="1" x14ac:dyDescent="0.2">
      <c r="A503" s="10" t="s">
        <v>2141</v>
      </c>
      <c r="B503" s="11" t="s">
        <v>2142</v>
      </c>
      <c r="C503" s="10" t="s">
        <v>2143</v>
      </c>
      <c r="D503" s="10" t="s">
        <v>2143</v>
      </c>
      <c r="E503" s="10" t="s">
        <v>2144</v>
      </c>
      <c r="F503" s="10" t="s">
        <v>114</v>
      </c>
      <c r="G503" s="10" t="s">
        <v>229</v>
      </c>
      <c r="H503" s="10" t="s">
        <v>31</v>
      </c>
      <c r="I503" s="10" t="str">
        <f>HYPERLINK("http://www.paolosemeraro.it/","www.paolosemeraro.it")</f>
        <v>www.paolosemeraro.it</v>
      </c>
      <c r="J503" s="12">
        <v>1268.982</v>
      </c>
      <c r="K503" s="12">
        <v>1268.982</v>
      </c>
      <c r="L503" s="12">
        <v>1032.193</v>
      </c>
      <c r="M503" s="12">
        <v>-164.732</v>
      </c>
      <c r="N503" s="12">
        <v>-164.732</v>
      </c>
      <c r="O503" s="12">
        <v>2.6429999999999998</v>
      </c>
      <c r="P503" s="13" t="s">
        <v>24</v>
      </c>
      <c r="Q503" s="13" t="s">
        <v>24</v>
      </c>
      <c r="R503" s="12">
        <v>31</v>
      </c>
    </row>
    <row r="504" spans="1:18" ht="17" customHeight="1" x14ac:dyDescent="0.2">
      <c r="A504" s="5" t="s">
        <v>2145</v>
      </c>
      <c r="B504" s="6" t="s">
        <v>2146</v>
      </c>
      <c r="C504" s="5" t="s">
        <v>2147</v>
      </c>
      <c r="D504" s="5" t="s">
        <v>2147</v>
      </c>
      <c r="E504" s="5" t="s">
        <v>2148</v>
      </c>
      <c r="F504" s="5" t="s">
        <v>462</v>
      </c>
      <c r="G504" s="5" t="s">
        <v>2047</v>
      </c>
      <c r="H504" s="5" t="s">
        <v>2048</v>
      </c>
      <c r="I504" s="5" t="str">
        <f>HYPERLINK("http://www.charmeintimo.it/","www.charmeintimo.it")</f>
        <v>www.charmeintimo.it</v>
      </c>
      <c r="J504" s="7">
        <v>909.08299999999997</v>
      </c>
      <c r="K504" s="7">
        <v>909.08299999999997</v>
      </c>
      <c r="L504" s="8">
        <v>1029.1759999999999</v>
      </c>
      <c r="M504" s="7">
        <v>-1.171</v>
      </c>
      <c r="N504" s="7">
        <v>-1.171</v>
      </c>
      <c r="O504" s="7">
        <v>15.234999999999999</v>
      </c>
      <c r="P504" s="7">
        <v>5</v>
      </c>
      <c r="Q504" s="7">
        <v>5</v>
      </c>
      <c r="R504" s="7">
        <v>5</v>
      </c>
    </row>
    <row r="505" spans="1:18" ht="17" customHeight="1" x14ac:dyDescent="0.2">
      <c r="A505" s="10" t="s">
        <v>2149</v>
      </c>
      <c r="B505" s="11" t="s">
        <v>2150</v>
      </c>
      <c r="C505" s="10" t="s">
        <v>2151</v>
      </c>
      <c r="D505" s="10" t="s">
        <v>2151</v>
      </c>
      <c r="E505" s="10" t="s">
        <v>2152</v>
      </c>
      <c r="F505" s="10" t="s">
        <v>482</v>
      </c>
      <c r="G505" s="10" t="s">
        <v>190</v>
      </c>
      <c r="H505" s="10" t="s">
        <v>74</v>
      </c>
      <c r="I505" s="10" t="str">
        <f>HYPERLINK("http://www.leulocati.com/","www.leulocati.com")</f>
        <v>www.leulocati.com</v>
      </c>
      <c r="J505" s="12">
        <v>1458.4359999999999</v>
      </c>
      <c r="K505" s="12">
        <v>1458.4359999999999</v>
      </c>
      <c r="L505" s="12">
        <v>1028.2919999999999</v>
      </c>
      <c r="M505" s="12">
        <v>3.8679999999999999</v>
      </c>
      <c r="N505" s="12">
        <v>3.8679999999999999</v>
      </c>
      <c r="O505" s="12">
        <v>20.332000000000001</v>
      </c>
      <c r="P505" s="12">
        <v>15</v>
      </c>
      <c r="Q505" s="12">
        <v>15</v>
      </c>
      <c r="R505" s="12">
        <v>17</v>
      </c>
    </row>
    <row r="506" spans="1:18" ht="17" customHeight="1" x14ac:dyDescent="0.2">
      <c r="A506" s="5" t="s">
        <v>2153</v>
      </c>
      <c r="B506" s="6" t="s">
        <v>2154</v>
      </c>
      <c r="C506" s="5" t="s">
        <v>2155</v>
      </c>
      <c r="D506" s="5" t="s">
        <v>2155</v>
      </c>
      <c r="E506" s="5" t="s">
        <v>2156</v>
      </c>
      <c r="F506" s="5" t="s">
        <v>134</v>
      </c>
      <c r="G506" s="5" t="s">
        <v>22</v>
      </c>
      <c r="H506" s="5" t="s">
        <v>23</v>
      </c>
      <c r="I506" s="5" t="str">
        <f>HYPERLINK("http://www.papinimoda.it/","www.papinimoda.it")</f>
        <v>www.papinimoda.it</v>
      </c>
      <c r="J506" s="7">
        <v>1341.2270000000001</v>
      </c>
      <c r="K506" s="7">
        <v>1341.2270000000001</v>
      </c>
      <c r="L506" s="8">
        <v>1028.2850000000001</v>
      </c>
      <c r="M506" s="7">
        <v>17.105</v>
      </c>
      <c r="N506" s="7">
        <v>17.105</v>
      </c>
      <c r="O506" s="7">
        <v>15.222</v>
      </c>
      <c r="P506" s="7">
        <v>16</v>
      </c>
      <c r="Q506" s="7">
        <v>16</v>
      </c>
      <c r="R506" s="7">
        <v>14</v>
      </c>
    </row>
    <row r="507" spans="1:18" ht="17" customHeight="1" x14ac:dyDescent="0.2">
      <c r="A507" s="10" t="s">
        <v>2157</v>
      </c>
      <c r="B507" s="11" t="s">
        <v>2158</v>
      </c>
      <c r="C507" s="10" t="s">
        <v>2159</v>
      </c>
      <c r="D507" s="10" t="s">
        <v>2159</v>
      </c>
      <c r="E507" s="10" t="s">
        <v>2160</v>
      </c>
      <c r="F507" s="10" t="s">
        <v>21</v>
      </c>
      <c r="G507" s="10" t="s">
        <v>1200</v>
      </c>
      <c r="H507" s="10" t="s">
        <v>407</v>
      </c>
      <c r="I507" s="10" t="str">
        <f>HYPERLINK("http://www.pavi.it/","www.pavi.it")</f>
        <v>www.pavi.it</v>
      </c>
      <c r="J507" s="12">
        <v>410.91300000000001</v>
      </c>
      <c r="K507" s="12">
        <v>410.91300000000001</v>
      </c>
      <c r="L507" s="12">
        <v>1028.155</v>
      </c>
      <c r="M507" s="12">
        <v>121.166</v>
      </c>
      <c r="N507" s="12">
        <v>121.166</v>
      </c>
      <c r="O507" s="12">
        <v>-384.28100000000001</v>
      </c>
      <c r="P507" s="12">
        <v>1</v>
      </c>
      <c r="Q507" s="12">
        <v>1</v>
      </c>
      <c r="R507" s="12">
        <v>9</v>
      </c>
    </row>
    <row r="508" spans="1:18" ht="43" customHeight="1" x14ac:dyDescent="0.2">
      <c r="A508" s="5" t="s">
        <v>2161</v>
      </c>
      <c r="B508" s="6" t="s">
        <v>2162</v>
      </c>
      <c r="C508" s="5" t="s">
        <v>2163</v>
      </c>
      <c r="D508" s="5" t="s">
        <v>2163</v>
      </c>
      <c r="E508" s="5" t="s">
        <v>2164</v>
      </c>
      <c r="F508" s="5" t="s">
        <v>54</v>
      </c>
      <c r="G508" s="5" t="s">
        <v>100</v>
      </c>
      <c r="H508" s="5" t="s">
        <v>62</v>
      </c>
      <c r="I508" s="5" t="str">
        <f>HYPERLINK("http://pec-srl.it/","pec-srl.it")</f>
        <v>pec-srl.it</v>
      </c>
      <c r="J508" s="7">
        <v>1011.361</v>
      </c>
      <c r="K508" s="7">
        <v>1011.361</v>
      </c>
      <c r="L508" s="8">
        <v>1025.838</v>
      </c>
      <c r="M508" s="7">
        <v>29.600999999999999</v>
      </c>
      <c r="N508" s="7">
        <v>29.600999999999999</v>
      </c>
      <c r="O508" s="7">
        <v>49.33</v>
      </c>
      <c r="P508" s="9" t="s">
        <v>24</v>
      </c>
      <c r="Q508" s="9" t="s">
        <v>24</v>
      </c>
      <c r="R508" s="7">
        <v>15</v>
      </c>
    </row>
    <row r="509" spans="1:18" ht="29.5" customHeight="1" x14ac:dyDescent="0.2">
      <c r="A509" s="10" t="s">
        <v>2165</v>
      </c>
      <c r="B509" s="11" t="s">
        <v>2166</v>
      </c>
      <c r="C509" s="10" t="s">
        <v>2167</v>
      </c>
      <c r="D509" s="10" t="s">
        <v>2167</v>
      </c>
      <c r="E509" s="10" t="s">
        <v>2168</v>
      </c>
      <c r="F509" s="10" t="s">
        <v>181</v>
      </c>
      <c r="G509" s="10" t="s">
        <v>135</v>
      </c>
      <c r="H509" s="10" t="s">
        <v>31</v>
      </c>
      <c r="I509" s="10" t="str">
        <f>HYPERLINK("http://www.maglificiopedone.it/","www.maglificiopedone.it")</f>
        <v>www.maglificiopedone.it</v>
      </c>
      <c r="J509" s="12">
        <v>1291.7819999999999</v>
      </c>
      <c r="K509" s="12">
        <v>1291.7819999999999</v>
      </c>
      <c r="L509" s="12">
        <v>1024.672</v>
      </c>
      <c r="M509" s="12">
        <v>79.33</v>
      </c>
      <c r="N509" s="12">
        <v>79.33</v>
      </c>
      <c r="O509" s="12">
        <v>124.124</v>
      </c>
      <c r="P509" s="12">
        <v>23</v>
      </c>
      <c r="Q509" s="12">
        <v>23</v>
      </c>
      <c r="R509" s="12">
        <v>19</v>
      </c>
    </row>
    <row r="510" spans="1:18" ht="17" customHeight="1" x14ac:dyDescent="0.2">
      <c r="A510" s="5" t="s">
        <v>2169</v>
      </c>
      <c r="B510" s="6" t="s">
        <v>2170</v>
      </c>
      <c r="C510" s="5" t="s">
        <v>2171</v>
      </c>
      <c r="D510" s="5" t="s">
        <v>2171</v>
      </c>
      <c r="E510" s="5" t="s">
        <v>2172</v>
      </c>
      <c r="F510" s="5" t="s">
        <v>21</v>
      </c>
      <c r="G510" s="5" t="s">
        <v>73</v>
      </c>
      <c r="H510" s="5" t="s">
        <v>74</v>
      </c>
      <c r="I510" s="5" t="str">
        <f>HYPERLINK("http://www.l4k3.it/","www.l4k3.it")</f>
        <v>www.l4k3.it</v>
      </c>
      <c r="J510" s="7">
        <v>1346.866</v>
      </c>
      <c r="K510" s="7">
        <v>1346.866</v>
      </c>
      <c r="L510" s="8">
        <v>1024.0519999999999</v>
      </c>
      <c r="M510" s="7">
        <v>60.435000000000002</v>
      </c>
      <c r="N510" s="7">
        <v>60.435000000000002</v>
      </c>
      <c r="O510" s="7">
        <v>38.203000000000003</v>
      </c>
      <c r="P510" s="7">
        <v>5</v>
      </c>
      <c r="Q510" s="7">
        <v>5</v>
      </c>
      <c r="R510" s="7">
        <v>4</v>
      </c>
    </row>
    <row r="511" spans="1:18" ht="17" customHeight="1" x14ac:dyDescent="0.2">
      <c r="A511" s="10" t="s">
        <v>2173</v>
      </c>
      <c r="B511" s="11" t="s">
        <v>2174</v>
      </c>
      <c r="C511" s="10" t="s">
        <v>2175</v>
      </c>
      <c r="D511" s="10" t="s">
        <v>2175</v>
      </c>
      <c r="E511" s="10" t="s">
        <v>2176</v>
      </c>
      <c r="F511" s="10" t="s">
        <v>54</v>
      </c>
      <c r="G511" s="10" t="s">
        <v>79</v>
      </c>
      <c r="H511" s="10" t="s">
        <v>56</v>
      </c>
      <c r="I511" s="10" t="str">
        <f>HYPERLINK("http://www.bernardinisnc.com/","www.bernardinisnc.com")</f>
        <v>www.bernardinisnc.com</v>
      </c>
      <c r="J511" s="12">
        <v>1030.2</v>
      </c>
      <c r="K511" s="12">
        <v>1030.2</v>
      </c>
      <c r="L511" s="12">
        <v>1023.8869999999999</v>
      </c>
      <c r="M511" s="12">
        <v>362.79700000000003</v>
      </c>
      <c r="N511" s="12">
        <v>362.79700000000003</v>
      </c>
      <c r="O511" s="12">
        <v>358.75400000000002</v>
      </c>
      <c r="P511" s="12">
        <v>10</v>
      </c>
      <c r="Q511" s="12">
        <v>10</v>
      </c>
      <c r="R511" s="12">
        <v>12</v>
      </c>
    </row>
    <row r="512" spans="1:18" ht="29.5" customHeight="1" x14ac:dyDescent="0.2">
      <c r="A512" s="5" t="s">
        <v>2177</v>
      </c>
      <c r="B512" s="6" t="s">
        <v>2178</v>
      </c>
      <c r="C512" s="5" t="s">
        <v>2179</v>
      </c>
      <c r="D512" s="5" t="s">
        <v>2179</v>
      </c>
      <c r="E512" s="5" t="s">
        <v>2180</v>
      </c>
      <c r="F512" s="5" t="s">
        <v>54</v>
      </c>
      <c r="G512" s="5" t="s">
        <v>381</v>
      </c>
      <c r="H512" s="5" t="s">
        <v>23</v>
      </c>
      <c r="I512" s="5" t="str">
        <f>HYPERLINK("http://toscanamignon.it/","toscanamignon.it")</f>
        <v>toscanamignon.it</v>
      </c>
      <c r="J512" s="7">
        <v>924.21600000000001</v>
      </c>
      <c r="K512" s="7">
        <v>924.21600000000001</v>
      </c>
      <c r="L512" s="8">
        <v>1022.509</v>
      </c>
      <c r="M512" s="7">
        <v>182.52199999999999</v>
      </c>
      <c r="N512" s="7">
        <v>182.52199999999999</v>
      </c>
      <c r="O512" s="7">
        <v>208.68299999999999</v>
      </c>
      <c r="P512" s="7">
        <v>8</v>
      </c>
      <c r="Q512" s="7">
        <v>8</v>
      </c>
      <c r="R512" s="7">
        <v>9</v>
      </c>
    </row>
    <row r="513" spans="1:18" ht="29.5" customHeight="1" x14ac:dyDescent="0.2">
      <c r="A513" s="10" t="s">
        <v>2181</v>
      </c>
      <c r="B513" s="11" t="s">
        <v>2182</v>
      </c>
      <c r="C513" s="10" t="s">
        <v>2183</v>
      </c>
      <c r="D513" s="10" t="s">
        <v>2183</v>
      </c>
      <c r="E513" s="10" t="s">
        <v>2184</v>
      </c>
      <c r="F513" s="10" t="s">
        <v>48</v>
      </c>
      <c r="G513" s="10" t="s">
        <v>22</v>
      </c>
      <c r="H513" s="10" t="s">
        <v>23</v>
      </c>
      <c r="I513" s="10" t="str">
        <f>HYPERLINK("http://www.jeanpaulmenicucci.com/","www.jeanpaulmenicucci.com")</f>
        <v>www.jeanpaulmenicucci.com</v>
      </c>
      <c r="J513" s="12">
        <v>829.55399999999997</v>
      </c>
      <c r="K513" s="12">
        <v>829.55399999999997</v>
      </c>
      <c r="L513" s="12">
        <v>1022.0069999999999</v>
      </c>
      <c r="M513" s="12">
        <v>47.29</v>
      </c>
      <c r="N513" s="12">
        <v>47.29</v>
      </c>
      <c r="O513" s="12">
        <v>136.512</v>
      </c>
      <c r="P513" s="13" t="s">
        <v>24</v>
      </c>
      <c r="Q513" s="13" t="s">
        <v>24</v>
      </c>
      <c r="R513" s="12">
        <v>4</v>
      </c>
    </row>
    <row r="514" spans="1:18" ht="17" customHeight="1" x14ac:dyDescent="0.2">
      <c r="A514" s="5" t="s">
        <v>2185</v>
      </c>
      <c r="B514" s="6" t="s">
        <v>2186</v>
      </c>
      <c r="C514" s="5" t="s">
        <v>2187</v>
      </c>
      <c r="D514" s="5" t="s">
        <v>2187</v>
      </c>
      <c r="E514" s="5" t="s">
        <v>2188</v>
      </c>
      <c r="F514" s="5" t="s">
        <v>181</v>
      </c>
      <c r="G514" s="5" t="s">
        <v>224</v>
      </c>
      <c r="H514" s="5" t="s">
        <v>23</v>
      </c>
      <c r="I514" s="5" t="str">
        <f>HYPERLINK("http://www.maglificioidea.it/","www.maglificioidea.it")</f>
        <v>www.maglificioidea.it</v>
      </c>
      <c r="J514" s="7">
        <v>1150.2090000000001</v>
      </c>
      <c r="K514" s="7">
        <v>1150.2090000000001</v>
      </c>
      <c r="L514" s="8">
        <v>1021.151</v>
      </c>
      <c r="M514" s="7">
        <v>2.8119999999999998</v>
      </c>
      <c r="N514" s="7">
        <v>2.8119999999999998</v>
      </c>
      <c r="O514" s="7">
        <v>21.949000000000002</v>
      </c>
      <c r="P514" s="7">
        <v>22</v>
      </c>
      <c r="Q514" s="7">
        <v>22</v>
      </c>
      <c r="R514" s="7">
        <v>17</v>
      </c>
    </row>
    <row r="515" spans="1:18" ht="29.5" customHeight="1" x14ac:dyDescent="0.2">
      <c r="A515" s="10" t="s">
        <v>2189</v>
      </c>
      <c r="B515" s="11" t="s">
        <v>2190</v>
      </c>
      <c r="C515" s="10" t="s">
        <v>2191</v>
      </c>
      <c r="D515" s="10" t="s">
        <v>2191</v>
      </c>
      <c r="E515" s="10" t="s">
        <v>2192</v>
      </c>
      <c r="F515" s="10" t="s">
        <v>21</v>
      </c>
      <c r="G515" s="10" t="s">
        <v>79</v>
      </c>
      <c r="H515" s="10" t="s">
        <v>56</v>
      </c>
      <c r="I515" s="10" t="str">
        <f>HYPERLINK("http://fauzian.it/","fauzian.it")</f>
        <v>fauzian.it</v>
      </c>
      <c r="J515" s="12">
        <v>1038.9770000000001</v>
      </c>
      <c r="K515" s="12">
        <v>1038.9770000000001</v>
      </c>
      <c r="L515" s="12">
        <v>1020.63</v>
      </c>
      <c r="M515" s="12">
        <v>-14.1</v>
      </c>
      <c r="N515" s="12">
        <v>-14.1</v>
      </c>
      <c r="O515" s="12">
        <v>-77.474000000000004</v>
      </c>
      <c r="P515" s="12">
        <v>7</v>
      </c>
      <c r="Q515" s="12">
        <v>7</v>
      </c>
      <c r="R515" s="12">
        <v>7</v>
      </c>
    </row>
    <row r="516" spans="1:18" ht="29.5" customHeight="1" x14ac:dyDescent="0.2">
      <c r="A516" s="5" t="s">
        <v>2193</v>
      </c>
      <c r="B516" s="6" t="s">
        <v>2194</v>
      </c>
      <c r="C516" s="5" t="s">
        <v>2195</v>
      </c>
      <c r="D516" s="5" t="s">
        <v>2195</v>
      </c>
      <c r="E516" s="5" t="s">
        <v>2196</v>
      </c>
      <c r="F516" s="5" t="s">
        <v>114</v>
      </c>
      <c r="G516" s="5" t="s">
        <v>718</v>
      </c>
      <c r="H516" s="5" t="s">
        <v>31</v>
      </c>
      <c r="I516" s="5" t="str">
        <f>HYPERLINK("http://www.heresis.it/","www.heresis.it")</f>
        <v>www.heresis.it</v>
      </c>
      <c r="J516" s="7">
        <v>915.46799999999996</v>
      </c>
      <c r="K516" s="7">
        <v>915.46799999999996</v>
      </c>
      <c r="L516" s="8">
        <v>1020.027</v>
      </c>
      <c r="M516" s="7">
        <v>219.14400000000001</v>
      </c>
      <c r="N516" s="7">
        <v>219.14400000000001</v>
      </c>
      <c r="O516" s="7">
        <v>89.384</v>
      </c>
      <c r="P516" s="7">
        <v>8</v>
      </c>
      <c r="Q516" s="7">
        <v>8</v>
      </c>
      <c r="R516" s="7">
        <v>12</v>
      </c>
    </row>
    <row r="517" spans="1:18" ht="17" customHeight="1" x14ac:dyDescent="0.2">
      <c r="A517" s="10" t="s">
        <v>2197</v>
      </c>
      <c r="B517" s="11" t="s">
        <v>2198</v>
      </c>
      <c r="C517" s="10" t="s">
        <v>2199</v>
      </c>
      <c r="D517" s="10" t="s">
        <v>2199</v>
      </c>
      <c r="E517" s="10" t="s">
        <v>2200</v>
      </c>
      <c r="F517" s="10" t="s">
        <v>48</v>
      </c>
      <c r="G517" s="10" t="s">
        <v>140</v>
      </c>
      <c r="H517" s="10" t="s">
        <v>43</v>
      </c>
      <c r="I517" s="10" t="str">
        <f>HYPERLINK("http://www.riserva.it/","www.riserva.it")</f>
        <v>www.riserva.it</v>
      </c>
      <c r="J517" s="12">
        <v>1041.952</v>
      </c>
      <c r="K517" s="12">
        <v>1041.952</v>
      </c>
      <c r="L517" s="12">
        <v>1019.086</v>
      </c>
      <c r="M517" s="12">
        <v>24.257000000000001</v>
      </c>
      <c r="N517" s="12">
        <v>24.257000000000001</v>
      </c>
      <c r="O517" s="12">
        <v>12.045999999999999</v>
      </c>
      <c r="P517" s="13" t="s">
        <v>24</v>
      </c>
      <c r="Q517" s="13" t="s">
        <v>24</v>
      </c>
      <c r="R517" s="12">
        <v>9</v>
      </c>
    </row>
    <row r="518" spans="1:18" ht="29.5" customHeight="1" x14ac:dyDescent="0.2">
      <c r="A518" s="5" t="s">
        <v>2201</v>
      </c>
      <c r="B518" s="6" t="s">
        <v>2202</v>
      </c>
      <c r="C518" s="5" t="s">
        <v>2203</v>
      </c>
      <c r="D518" s="5" t="s">
        <v>2203</v>
      </c>
      <c r="E518" s="5" t="s">
        <v>2204</v>
      </c>
      <c r="F518" s="5" t="s">
        <v>482</v>
      </c>
      <c r="G518" s="5" t="s">
        <v>293</v>
      </c>
      <c r="H518" s="5" t="s">
        <v>74</v>
      </c>
      <c r="I518" s="5" t="str">
        <f>HYPERLINK("http://www.opificio0325.it/","www.opificio0325.it")</f>
        <v>www.opificio0325.it</v>
      </c>
      <c r="J518" s="7">
        <v>1087.165</v>
      </c>
      <c r="K518" s="7">
        <v>1087.165</v>
      </c>
      <c r="L518" s="8">
        <v>1018.22</v>
      </c>
      <c r="M518" s="7">
        <v>16.065000000000001</v>
      </c>
      <c r="N518" s="7">
        <v>16.065000000000001</v>
      </c>
      <c r="O518" s="7">
        <v>9.1080000000000005</v>
      </c>
      <c r="P518" s="9" t="s">
        <v>24</v>
      </c>
      <c r="Q518" s="9" t="s">
        <v>24</v>
      </c>
      <c r="R518" s="7">
        <v>10</v>
      </c>
    </row>
    <row r="519" spans="1:18" ht="17" customHeight="1" x14ac:dyDescent="0.2">
      <c r="A519" s="10" t="s">
        <v>2205</v>
      </c>
      <c r="B519" s="11" t="s">
        <v>2206</v>
      </c>
      <c r="C519" s="10" t="s">
        <v>2207</v>
      </c>
      <c r="D519" s="10" t="s">
        <v>2207</v>
      </c>
      <c r="E519" s="10" t="s">
        <v>2208</v>
      </c>
      <c r="F519" s="10" t="s">
        <v>114</v>
      </c>
      <c r="G519" s="10" t="s">
        <v>503</v>
      </c>
      <c r="H519" s="10" t="s">
        <v>62</v>
      </c>
      <c r="I519" s="10" t="str">
        <f>HYPERLINK("http://felicia-couture.it/","felicia-couture.it")</f>
        <v>felicia-couture.it</v>
      </c>
      <c r="J519" s="12">
        <v>1561.0909999999999</v>
      </c>
      <c r="K519" s="12">
        <v>1561.0909999999999</v>
      </c>
      <c r="L519" s="12">
        <v>1016.59</v>
      </c>
      <c r="M519" s="12">
        <v>3.9580000000000002</v>
      </c>
      <c r="N519" s="12">
        <v>3.9580000000000002</v>
      </c>
      <c r="O519" s="12">
        <v>28.023</v>
      </c>
      <c r="P519" s="13" t="s">
        <v>24</v>
      </c>
      <c r="Q519" s="13" t="s">
        <v>24</v>
      </c>
      <c r="R519" s="12">
        <v>12</v>
      </c>
    </row>
    <row r="520" spans="1:18" ht="43" customHeight="1" x14ac:dyDescent="0.2">
      <c r="A520" s="5" t="s">
        <v>2209</v>
      </c>
      <c r="B520" s="6" t="s">
        <v>2210</v>
      </c>
      <c r="C520" s="5" t="s">
        <v>2211</v>
      </c>
      <c r="D520" s="5" t="s">
        <v>2211</v>
      </c>
      <c r="E520" s="5" t="s">
        <v>2212</v>
      </c>
      <c r="F520" s="5" t="s">
        <v>114</v>
      </c>
      <c r="G520" s="5" t="s">
        <v>2213</v>
      </c>
      <c r="H520" s="5" t="s">
        <v>2048</v>
      </c>
      <c r="I520" s="5" t="str">
        <f>HYPERLINK("http://ninnaohbaby.it/","ninnaohbaby.it")</f>
        <v>ninnaohbaby.it</v>
      </c>
      <c r="J520" s="7">
        <v>1192.6410000000001</v>
      </c>
      <c r="K520" s="7">
        <v>1192.6410000000001</v>
      </c>
      <c r="L520" s="8">
        <v>1015.458</v>
      </c>
      <c r="M520" s="7">
        <v>16.062999999999999</v>
      </c>
      <c r="N520" s="7">
        <v>16.062999999999999</v>
      </c>
      <c r="O520" s="7">
        <v>31.451000000000001</v>
      </c>
      <c r="P520" s="9" t="s">
        <v>24</v>
      </c>
      <c r="Q520" s="9" t="s">
        <v>24</v>
      </c>
      <c r="R520" s="7">
        <v>16</v>
      </c>
    </row>
    <row r="521" spans="1:18" ht="17" customHeight="1" x14ac:dyDescent="0.2">
      <c r="A521" s="10" t="s">
        <v>2214</v>
      </c>
      <c r="B521" s="11" t="s">
        <v>2215</v>
      </c>
      <c r="C521" s="10" t="s">
        <v>2216</v>
      </c>
      <c r="D521" s="10" t="s">
        <v>2216</v>
      </c>
      <c r="E521" s="10" t="s">
        <v>2217</v>
      </c>
      <c r="F521" s="10" t="s">
        <v>114</v>
      </c>
      <c r="G521" s="10" t="s">
        <v>94</v>
      </c>
      <c r="H521" s="10" t="s">
        <v>62</v>
      </c>
      <c r="I521" s="10" t="str">
        <f>HYPERLINK("http://www.volpemanifatture.it/","www.volpemanifatture.it")</f>
        <v>www.volpemanifatture.it</v>
      </c>
      <c r="J521" s="12">
        <v>1590.7550000000001</v>
      </c>
      <c r="K521" s="12">
        <v>1590.7550000000001</v>
      </c>
      <c r="L521" s="12">
        <v>1014.458</v>
      </c>
      <c r="M521" s="12">
        <v>36.825000000000003</v>
      </c>
      <c r="N521" s="12">
        <v>36.825000000000003</v>
      </c>
      <c r="O521" s="12">
        <v>53.704999999999998</v>
      </c>
      <c r="P521" s="13" t="s">
        <v>24</v>
      </c>
      <c r="Q521" s="13" t="s">
        <v>24</v>
      </c>
      <c r="R521" s="12">
        <v>53</v>
      </c>
    </row>
    <row r="522" spans="1:18" ht="29.5" customHeight="1" x14ac:dyDescent="0.2">
      <c r="A522" s="5" t="s">
        <v>2218</v>
      </c>
      <c r="B522" s="6" t="s">
        <v>2219</v>
      </c>
      <c r="C522" s="5" t="s">
        <v>2220</v>
      </c>
      <c r="D522" s="5" t="s">
        <v>2220</v>
      </c>
      <c r="E522" s="5" t="s">
        <v>2221</v>
      </c>
      <c r="F522" s="5" t="s">
        <v>105</v>
      </c>
      <c r="G522" s="5" t="s">
        <v>73</v>
      </c>
      <c r="H522" s="5" t="s">
        <v>74</v>
      </c>
      <c r="I522" s="5" t="str">
        <f>HYPERLINK("http://mt-factory.it/","mt-factory.it")</f>
        <v>mt-factory.it</v>
      </c>
      <c r="J522" s="7">
        <v>804.74199999999996</v>
      </c>
      <c r="K522" s="7">
        <v>804.74199999999996</v>
      </c>
      <c r="L522" s="8">
        <v>1014.328</v>
      </c>
      <c r="M522" s="7">
        <v>-3.3730000000000002</v>
      </c>
      <c r="N522" s="7">
        <v>-3.3730000000000002</v>
      </c>
      <c r="O522" s="7">
        <v>2.21</v>
      </c>
      <c r="P522" s="9" t="s">
        <v>24</v>
      </c>
      <c r="Q522" s="9" t="s">
        <v>24</v>
      </c>
      <c r="R522" s="7">
        <v>7</v>
      </c>
    </row>
    <row r="523" spans="1:18" ht="29.5" customHeight="1" x14ac:dyDescent="0.2">
      <c r="A523" s="10" t="s">
        <v>2222</v>
      </c>
      <c r="B523" s="11" t="s">
        <v>2223</v>
      </c>
      <c r="C523" s="10" t="s">
        <v>2224</v>
      </c>
      <c r="D523" s="10" t="s">
        <v>2224</v>
      </c>
      <c r="E523" s="10" t="s">
        <v>2225</v>
      </c>
      <c r="F523" s="10" t="s">
        <v>860</v>
      </c>
      <c r="G523" s="10" t="s">
        <v>308</v>
      </c>
      <c r="H523" s="10" t="s">
        <v>299</v>
      </c>
      <c r="I523" s="10" t="str">
        <f>HYPERLINK("http://www.centrobelfurs.it/","www.centrobelfurs.it")</f>
        <v>www.centrobelfurs.it</v>
      </c>
      <c r="J523" s="12">
        <v>1722.73</v>
      </c>
      <c r="K523" s="12">
        <v>1722.73</v>
      </c>
      <c r="L523" s="12">
        <v>1013.407</v>
      </c>
      <c r="M523" s="12">
        <v>18.744</v>
      </c>
      <c r="N523" s="12">
        <v>18.744</v>
      </c>
      <c r="O523" s="12">
        <v>31.042999999999999</v>
      </c>
      <c r="P523" s="12">
        <v>7</v>
      </c>
      <c r="Q523" s="12">
        <v>7</v>
      </c>
      <c r="R523" s="12">
        <v>10</v>
      </c>
    </row>
    <row r="524" spans="1:18" ht="17" customHeight="1" x14ac:dyDescent="0.2">
      <c r="A524" s="5" t="s">
        <v>2226</v>
      </c>
      <c r="B524" s="6" t="s">
        <v>2227</v>
      </c>
      <c r="C524" s="5" t="s">
        <v>2228</v>
      </c>
      <c r="D524" s="5" t="s">
        <v>2228</v>
      </c>
      <c r="E524" s="5" t="s">
        <v>2229</v>
      </c>
      <c r="F524" s="5" t="s">
        <v>114</v>
      </c>
      <c r="G524" s="5" t="s">
        <v>22</v>
      </c>
      <c r="H524" s="5" t="s">
        <v>23</v>
      </c>
      <c r="I524" s="5" t="str">
        <f>HYPERLINK("http://specialzipper.it/","specialzipper.it")</f>
        <v>specialzipper.it</v>
      </c>
      <c r="J524" s="7">
        <v>968.12</v>
      </c>
      <c r="K524" s="7">
        <v>968.12</v>
      </c>
      <c r="L524" s="8">
        <v>1011.691</v>
      </c>
      <c r="M524" s="7">
        <v>24.492999999999999</v>
      </c>
      <c r="N524" s="7">
        <v>24.492999999999999</v>
      </c>
      <c r="O524" s="7">
        <v>35.563000000000002</v>
      </c>
      <c r="P524" s="9" t="s">
        <v>24</v>
      </c>
      <c r="Q524" s="9" t="s">
        <v>24</v>
      </c>
      <c r="R524" s="7">
        <v>6</v>
      </c>
    </row>
    <row r="525" spans="1:18" ht="29.5" customHeight="1" x14ac:dyDescent="0.2">
      <c r="A525" s="10" t="s">
        <v>2230</v>
      </c>
      <c r="B525" s="11" t="s">
        <v>2231</v>
      </c>
      <c r="C525" s="10" t="s">
        <v>2232</v>
      </c>
      <c r="D525" s="10" t="s">
        <v>2232</v>
      </c>
      <c r="E525" s="10" t="s">
        <v>2233</v>
      </c>
      <c r="F525" s="10" t="s">
        <v>105</v>
      </c>
      <c r="G525" s="10" t="s">
        <v>115</v>
      </c>
      <c r="H525" s="10" t="s">
        <v>43</v>
      </c>
      <c r="I525" s="10" t="str">
        <f>HYPERLINK("http://okinawaoperations.it/","okinawaoperations.it")</f>
        <v>okinawaoperations.it</v>
      </c>
      <c r="J525" s="12">
        <v>1395.567</v>
      </c>
      <c r="K525" s="12">
        <v>1395.567</v>
      </c>
      <c r="L525" s="12">
        <v>1011.45</v>
      </c>
      <c r="M525" s="12">
        <v>5.9080000000000004</v>
      </c>
      <c r="N525" s="12">
        <v>5.9080000000000004</v>
      </c>
      <c r="O525" s="12">
        <v>14.962</v>
      </c>
      <c r="P525" s="13" t="s">
        <v>24</v>
      </c>
      <c r="Q525" s="13" t="s">
        <v>24</v>
      </c>
      <c r="R525" s="12">
        <v>9</v>
      </c>
    </row>
    <row r="526" spans="1:18" ht="17" customHeight="1" x14ac:dyDescent="0.2">
      <c r="A526" s="5" t="s">
        <v>2234</v>
      </c>
      <c r="B526" s="6" t="s">
        <v>2235</v>
      </c>
      <c r="C526" s="5" t="s">
        <v>2236</v>
      </c>
      <c r="D526" s="5" t="s">
        <v>2236</v>
      </c>
      <c r="E526" s="5" t="s">
        <v>2237</v>
      </c>
      <c r="F526" s="5" t="s">
        <v>2238</v>
      </c>
      <c r="G526" s="5" t="s">
        <v>36</v>
      </c>
      <c r="H526" s="5" t="s">
        <v>23</v>
      </c>
      <c r="I526" s="5" t="str">
        <f>HYPERLINK("http://www.saripel.it/","www.saripel.it")</f>
        <v>www.saripel.it</v>
      </c>
      <c r="J526" s="7">
        <v>916.52</v>
      </c>
      <c r="K526" s="7">
        <v>916.52</v>
      </c>
      <c r="L526" s="8">
        <v>1011.503</v>
      </c>
      <c r="M526" s="7">
        <v>113.82299999999999</v>
      </c>
      <c r="N526" s="7">
        <v>113.82299999999999</v>
      </c>
      <c r="O526" s="7">
        <v>94.933000000000007</v>
      </c>
      <c r="P526" s="7">
        <v>7</v>
      </c>
      <c r="Q526" s="7">
        <v>7</v>
      </c>
      <c r="R526" s="7">
        <v>7</v>
      </c>
    </row>
    <row r="527" spans="1:18" ht="17" customHeight="1" x14ac:dyDescent="0.2">
      <c r="A527" s="10" t="s">
        <v>2239</v>
      </c>
      <c r="B527" s="11" t="s">
        <v>2240</v>
      </c>
      <c r="C527" s="10" t="s">
        <v>2241</v>
      </c>
      <c r="D527" s="10" t="s">
        <v>2241</v>
      </c>
      <c r="E527" s="10" t="s">
        <v>2242</v>
      </c>
      <c r="F527" s="10" t="s">
        <v>462</v>
      </c>
      <c r="G527" s="10" t="s">
        <v>247</v>
      </c>
      <c r="H527" s="10" t="s">
        <v>74</v>
      </c>
      <c r="I527" s="10" t="str">
        <f>HYPERLINK("http://ernestocavalli.it/","ernestocavalli.it")</f>
        <v>ernestocavalli.it</v>
      </c>
      <c r="J527" s="12">
        <v>1232.002</v>
      </c>
      <c r="K527" s="12">
        <v>1232.002</v>
      </c>
      <c r="L527" s="12">
        <v>1010.734</v>
      </c>
      <c r="M527" s="12">
        <v>47.820999999999998</v>
      </c>
      <c r="N527" s="12">
        <v>47.820999999999998</v>
      </c>
      <c r="O527" s="12">
        <v>-10.284000000000001</v>
      </c>
      <c r="P527" s="12">
        <v>30</v>
      </c>
      <c r="Q527" s="12">
        <v>30</v>
      </c>
      <c r="R527" s="12">
        <v>29</v>
      </c>
    </row>
    <row r="528" spans="1:18" ht="17" customHeight="1" x14ac:dyDescent="0.2">
      <c r="A528" s="5" t="s">
        <v>2243</v>
      </c>
      <c r="B528" s="6" t="s">
        <v>2244</v>
      </c>
      <c r="C528" s="5" t="s">
        <v>2245</v>
      </c>
      <c r="D528" s="5" t="s">
        <v>2245</v>
      </c>
      <c r="E528" s="5" t="s">
        <v>2246</v>
      </c>
      <c r="F528" s="5" t="s">
        <v>181</v>
      </c>
      <c r="G528" s="5" t="s">
        <v>2247</v>
      </c>
      <c r="H528" s="5" t="s">
        <v>121</v>
      </c>
      <c r="I528" s="5" t="str">
        <f>HYPERLINK("http://www.borgodellortica.it/","www.borgodellortica.it")</f>
        <v>www.borgodellortica.it</v>
      </c>
      <c r="J528" s="7">
        <v>868.45100000000002</v>
      </c>
      <c r="K528" s="7">
        <v>868.45100000000002</v>
      </c>
      <c r="L528" s="8">
        <v>1009.5839999999999</v>
      </c>
      <c r="M528" s="7">
        <v>-7.6749999999999998</v>
      </c>
      <c r="N528" s="7">
        <v>-7.6749999999999998</v>
      </c>
      <c r="O528" s="7">
        <v>-23.709</v>
      </c>
      <c r="P528" s="7">
        <v>11</v>
      </c>
      <c r="Q528" s="7">
        <v>11</v>
      </c>
      <c r="R528" s="7">
        <v>10</v>
      </c>
    </row>
    <row r="529" spans="1:18" ht="17" customHeight="1" x14ac:dyDescent="0.2">
      <c r="A529" s="10" t="s">
        <v>2248</v>
      </c>
      <c r="B529" s="11" t="s">
        <v>2249</v>
      </c>
      <c r="C529" s="10" t="s">
        <v>2250</v>
      </c>
      <c r="D529" s="10" t="s">
        <v>2250</v>
      </c>
      <c r="E529" s="10" t="s">
        <v>2251</v>
      </c>
      <c r="F529" s="10" t="s">
        <v>462</v>
      </c>
      <c r="G529" s="10" t="s">
        <v>552</v>
      </c>
      <c r="H529" s="10" t="s">
        <v>74</v>
      </c>
      <c r="I529" s="10" t="str">
        <f>HYPERLINK("http://www.aquarellecomo.com/","www.aquarellecomo.com")</f>
        <v>www.aquarellecomo.com</v>
      </c>
      <c r="J529" s="12">
        <v>538.61300000000006</v>
      </c>
      <c r="K529" s="12">
        <v>1092.402</v>
      </c>
      <c r="L529" s="12">
        <v>1009.2809999999999</v>
      </c>
      <c r="M529" s="12">
        <v>51.213999999999999</v>
      </c>
      <c r="N529" s="12">
        <v>245.23599999999999</v>
      </c>
      <c r="O529" s="12">
        <v>249.65799999999999</v>
      </c>
      <c r="P529" s="12">
        <v>10</v>
      </c>
      <c r="Q529" s="12">
        <v>9</v>
      </c>
      <c r="R529" s="12">
        <v>7</v>
      </c>
    </row>
    <row r="530" spans="1:18" ht="29.5" customHeight="1" x14ac:dyDescent="0.2">
      <c r="A530" s="5" t="s">
        <v>2252</v>
      </c>
      <c r="B530" s="6" t="s">
        <v>2253</v>
      </c>
      <c r="C530" s="5" t="s">
        <v>2254</v>
      </c>
      <c r="D530" s="5" t="s">
        <v>2254</v>
      </c>
      <c r="E530" s="5" t="s">
        <v>2255</v>
      </c>
      <c r="F530" s="5" t="s">
        <v>462</v>
      </c>
      <c r="G530" s="5" t="s">
        <v>274</v>
      </c>
      <c r="H530" s="5" t="s">
        <v>31</v>
      </c>
      <c r="I530" s="5" t="str">
        <f>HYPERLINK("http://life-intimo-srl-04421770720.quantofattura.com/","life-intimo-srl-04421770720.quantofattura.com")</f>
        <v>life-intimo-srl-04421770720.quantofattura.com</v>
      </c>
      <c r="J530" s="7">
        <v>1324.7</v>
      </c>
      <c r="K530" s="7">
        <v>1324.7</v>
      </c>
      <c r="L530" s="8">
        <v>1004.443</v>
      </c>
      <c r="M530" s="7">
        <v>4.58</v>
      </c>
      <c r="N530" s="7">
        <v>4.58</v>
      </c>
      <c r="O530" s="7">
        <v>24.687999999999999</v>
      </c>
      <c r="P530" s="7">
        <v>6</v>
      </c>
      <c r="Q530" s="7">
        <v>6</v>
      </c>
      <c r="R530" s="7">
        <v>8</v>
      </c>
    </row>
    <row r="531" spans="1:18" ht="17" customHeight="1" x14ac:dyDescent="0.2">
      <c r="A531" s="10" t="s">
        <v>2256</v>
      </c>
      <c r="B531" s="11" t="s">
        <v>2257</v>
      </c>
      <c r="C531" s="10" t="s">
        <v>2258</v>
      </c>
      <c r="D531" s="10" t="s">
        <v>2258</v>
      </c>
      <c r="E531" s="10" t="s">
        <v>2259</v>
      </c>
      <c r="F531" s="10" t="s">
        <v>41</v>
      </c>
      <c r="G531" s="10" t="s">
        <v>190</v>
      </c>
      <c r="H531" s="10" t="s">
        <v>74</v>
      </c>
      <c r="I531" s="10" t="str">
        <f>HYPERLINK("http://www.longinodurso.it/","www.longinodurso.it")</f>
        <v>www.longinodurso.it</v>
      </c>
      <c r="J531" s="12">
        <v>179.97</v>
      </c>
      <c r="K531" s="12">
        <v>179.97</v>
      </c>
      <c r="L531" s="12">
        <v>1004.3579999999999</v>
      </c>
      <c r="M531" s="12">
        <v>7.2999999999999995E-2</v>
      </c>
      <c r="N531" s="12">
        <v>7.2999999999999995E-2</v>
      </c>
      <c r="O531" s="12">
        <v>105.143</v>
      </c>
      <c r="P531" s="13" t="s">
        <v>24</v>
      </c>
      <c r="Q531" s="13" t="s">
        <v>24</v>
      </c>
      <c r="R531" s="13" t="s">
        <v>24</v>
      </c>
    </row>
    <row r="532" spans="1:18" ht="17" customHeight="1" x14ac:dyDescent="0.2">
      <c r="A532" s="5" t="s">
        <v>2260</v>
      </c>
      <c r="B532" s="6" t="s">
        <v>2261</v>
      </c>
      <c r="C532" s="5" t="s">
        <v>2262</v>
      </c>
      <c r="D532" s="5" t="s">
        <v>2262</v>
      </c>
      <c r="E532" s="5" t="s">
        <v>2263</v>
      </c>
      <c r="F532" s="5" t="s">
        <v>21</v>
      </c>
      <c r="G532" s="5" t="s">
        <v>713</v>
      </c>
      <c r="H532" s="5" t="s">
        <v>299</v>
      </c>
      <c r="I532" s="5" t="str">
        <f>HYPERLINK("http://www.greenlifecalzature.it/","www.greenlifecalzature.it")</f>
        <v>www.greenlifecalzature.it</v>
      </c>
      <c r="J532" s="7">
        <v>767.38199999999995</v>
      </c>
      <c r="K532" s="7">
        <v>767.38199999999995</v>
      </c>
      <c r="L532" s="8">
        <v>1003.246</v>
      </c>
      <c r="M532" s="7">
        <v>15.726000000000001</v>
      </c>
      <c r="N532" s="7">
        <v>15.726000000000001</v>
      </c>
      <c r="O532" s="7">
        <v>10.112</v>
      </c>
      <c r="P532" s="7">
        <v>11</v>
      </c>
      <c r="Q532" s="7">
        <v>11</v>
      </c>
      <c r="R532" s="7">
        <v>12</v>
      </c>
    </row>
    <row r="533" spans="1:18" ht="17" customHeight="1" x14ac:dyDescent="0.2">
      <c r="A533" s="10" t="s">
        <v>2264</v>
      </c>
      <c r="B533" s="11" t="s">
        <v>2265</v>
      </c>
      <c r="C533" s="10" t="s">
        <v>2266</v>
      </c>
      <c r="D533" s="10" t="s">
        <v>2266</v>
      </c>
      <c r="E533" s="10" t="s">
        <v>2267</v>
      </c>
      <c r="F533" s="10" t="s">
        <v>114</v>
      </c>
      <c r="G533" s="10" t="s">
        <v>234</v>
      </c>
      <c r="H533" s="10" t="s">
        <v>23</v>
      </c>
      <c r="I533" s="10" t="str">
        <f>HYPERLINK("http://www.mimsmodasrl.it/","www.mimsmodasrl.it")</f>
        <v>www.mimsmodasrl.it</v>
      </c>
      <c r="J533" s="12">
        <v>858.65800000000002</v>
      </c>
      <c r="K533" s="12">
        <v>858.65800000000002</v>
      </c>
      <c r="L533" s="12">
        <v>1002.109</v>
      </c>
      <c r="M533" s="12">
        <v>-200.64400000000001</v>
      </c>
      <c r="N533" s="12">
        <v>-200.64400000000001</v>
      </c>
      <c r="O533" s="12">
        <v>-52.976999999999997</v>
      </c>
      <c r="P533" s="12">
        <v>7</v>
      </c>
      <c r="Q533" s="12">
        <v>7</v>
      </c>
      <c r="R533" s="12">
        <v>6</v>
      </c>
    </row>
    <row r="534" spans="1:18" ht="29.5" customHeight="1" x14ac:dyDescent="0.2">
      <c r="A534" s="5" t="s">
        <v>2268</v>
      </c>
      <c r="B534" s="6" t="s">
        <v>2269</v>
      </c>
      <c r="C534" s="5" t="s">
        <v>2270</v>
      </c>
      <c r="D534" s="5" t="s">
        <v>2270</v>
      </c>
      <c r="E534" s="5" t="s">
        <v>2271</v>
      </c>
      <c r="F534" s="5" t="s">
        <v>376</v>
      </c>
      <c r="G534" s="5" t="s">
        <v>274</v>
      </c>
      <c r="H534" s="5" t="s">
        <v>31</v>
      </c>
      <c r="I534" s="5" t="str">
        <f>HYPERLINK("http://www.newgisab.it/","www.newgisab.it")</f>
        <v>www.newgisab.it</v>
      </c>
      <c r="J534" s="7">
        <v>922.16</v>
      </c>
      <c r="K534" s="7">
        <v>922.16</v>
      </c>
      <c r="L534" s="8">
        <v>1001.061</v>
      </c>
      <c r="M534" s="7">
        <v>-102.73399999999999</v>
      </c>
      <c r="N534" s="7">
        <v>-102.73399999999999</v>
      </c>
      <c r="O534" s="7">
        <v>-140.96199999999999</v>
      </c>
      <c r="P534" s="9" t="s">
        <v>24</v>
      </c>
      <c r="Q534" s="9" t="s">
        <v>24</v>
      </c>
      <c r="R534" s="7">
        <v>9</v>
      </c>
    </row>
    <row r="535" spans="1:18" ht="17" customHeight="1" x14ac:dyDescent="0.2">
      <c r="A535" s="10" t="s">
        <v>2272</v>
      </c>
      <c r="B535" s="11" t="s">
        <v>2273</v>
      </c>
      <c r="C535" s="10" t="s">
        <v>2274</v>
      </c>
      <c r="D535" s="10" t="s">
        <v>2274</v>
      </c>
      <c r="E535" s="10" t="s">
        <v>2275</v>
      </c>
      <c r="F535" s="10" t="s">
        <v>482</v>
      </c>
      <c r="G535" s="10" t="s">
        <v>1685</v>
      </c>
      <c r="H535" s="10" t="s">
        <v>43</v>
      </c>
      <c r="I535" s="10" t="str">
        <f>HYPERLINK("http://www.velaitaly.com/","www.velaitaly.com")</f>
        <v>www.velaitaly.com</v>
      </c>
      <c r="J535" s="12">
        <v>1162.492</v>
      </c>
      <c r="K535" s="12">
        <v>1162.492</v>
      </c>
      <c r="L535" s="12">
        <v>1000.376</v>
      </c>
      <c r="M535" s="12">
        <v>2.7869999999999999</v>
      </c>
      <c r="N535" s="12">
        <v>2.7869999999999999</v>
      </c>
      <c r="O535" s="12">
        <v>57.13</v>
      </c>
      <c r="P535" s="12">
        <v>27</v>
      </c>
      <c r="Q535" s="12">
        <v>27</v>
      </c>
      <c r="R535" s="12">
        <v>27</v>
      </c>
    </row>
    <row r="536" spans="1:18" ht="17" customHeight="1" x14ac:dyDescent="0.2">
      <c r="A536" s="5" t="s">
        <v>2276</v>
      </c>
      <c r="B536" s="6" t="s">
        <v>2277</v>
      </c>
      <c r="C536" s="5" t="s">
        <v>2278</v>
      </c>
      <c r="D536" s="5" t="s">
        <v>2278</v>
      </c>
      <c r="E536" s="5" t="s">
        <v>2279</v>
      </c>
      <c r="F536" s="5" t="s">
        <v>41</v>
      </c>
      <c r="G536" s="5" t="s">
        <v>224</v>
      </c>
      <c r="H536" s="5" t="s">
        <v>23</v>
      </c>
      <c r="I536" s="5" t="str">
        <f>HYPERLINK("http://www.eurofur.it/","www.eurofur.it")</f>
        <v>www.eurofur.it</v>
      </c>
      <c r="J536" s="7">
        <v>629.73199999999997</v>
      </c>
      <c r="K536" s="7">
        <v>629.73199999999997</v>
      </c>
      <c r="L536" s="8">
        <v>1000.178</v>
      </c>
      <c r="M536" s="7">
        <v>-152.15700000000001</v>
      </c>
      <c r="N536" s="7">
        <v>-152.15700000000001</v>
      </c>
      <c r="O536" s="7">
        <v>-121.107</v>
      </c>
      <c r="P536" s="7">
        <v>4</v>
      </c>
      <c r="Q536" s="7">
        <v>4</v>
      </c>
      <c r="R536" s="7">
        <v>4</v>
      </c>
    </row>
    <row r="537" spans="1:18" ht="17" customHeight="1" x14ac:dyDescent="0.2">
      <c r="A537" s="10" t="s">
        <v>2280</v>
      </c>
      <c r="B537" s="11" t="s">
        <v>2281</v>
      </c>
      <c r="C537" s="10" t="s">
        <v>2282</v>
      </c>
      <c r="D537" s="10" t="s">
        <v>2282</v>
      </c>
      <c r="E537" s="10" t="s">
        <v>2283</v>
      </c>
      <c r="F537" s="10" t="s">
        <v>114</v>
      </c>
      <c r="G537" s="10" t="s">
        <v>229</v>
      </c>
      <c r="H537" s="10" t="s">
        <v>31</v>
      </c>
      <c r="I537" s="10" t="str">
        <f>HYPERLINK("http://www.arcte.it/","www.arcte.it")</f>
        <v>www.arcte.it</v>
      </c>
      <c r="J537" s="12">
        <v>1021.756</v>
      </c>
      <c r="K537" s="12">
        <v>1021.756</v>
      </c>
      <c r="L537" s="12">
        <v>999.46900000000005</v>
      </c>
      <c r="M537" s="12">
        <v>13.618</v>
      </c>
      <c r="N537" s="12">
        <v>13.618</v>
      </c>
      <c r="O537" s="12">
        <v>39.494</v>
      </c>
      <c r="P537" s="12">
        <v>3</v>
      </c>
      <c r="Q537" s="12">
        <v>3</v>
      </c>
      <c r="R537" s="12">
        <v>1</v>
      </c>
    </row>
    <row r="538" spans="1:18" ht="17" customHeight="1" x14ac:dyDescent="0.2">
      <c r="A538" s="5" t="s">
        <v>2284</v>
      </c>
      <c r="B538" s="6" t="s">
        <v>2285</v>
      </c>
      <c r="C538" s="5" t="s">
        <v>2286</v>
      </c>
      <c r="D538" s="5" t="s">
        <v>2286</v>
      </c>
      <c r="E538" s="5" t="s">
        <v>2287</v>
      </c>
      <c r="F538" s="5" t="s">
        <v>29</v>
      </c>
      <c r="G538" s="5" t="s">
        <v>135</v>
      </c>
      <c r="H538" s="5" t="s">
        <v>31</v>
      </c>
      <c r="I538" s="5" t="str">
        <f>HYPERLINK("http://www.isazippo.com/","www.isazippo.com")</f>
        <v>www.isazippo.com</v>
      </c>
      <c r="J538" s="7">
        <v>760.86500000000001</v>
      </c>
      <c r="K538" s="7">
        <v>760.86500000000001</v>
      </c>
      <c r="L538" s="8">
        <v>999.36900000000003</v>
      </c>
      <c r="M538" s="7">
        <v>-8.8870000000000005</v>
      </c>
      <c r="N538" s="7">
        <v>-8.8870000000000005</v>
      </c>
      <c r="O538" s="7">
        <v>4.1859999999999999</v>
      </c>
      <c r="P538" s="7">
        <v>36</v>
      </c>
      <c r="Q538" s="7">
        <v>36</v>
      </c>
      <c r="R538" s="7">
        <v>40</v>
      </c>
    </row>
    <row r="539" spans="1:18" ht="17" customHeight="1" x14ac:dyDescent="0.2">
      <c r="A539" s="10" t="s">
        <v>2288</v>
      </c>
      <c r="B539" s="11" t="s">
        <v>2289</v>
      </c>
      <c r="C539" s="10" t="s">
        <v>2290</v>
      </c>
      <c r="D539" s="10" t="s">
        <v>2290</v>
      </c>
      <c r="E539" s="10" t="s">
        <v>2291</v>
      </c>
      <c r="F539" s="10" t="s">
        <v>29</v>
      </c>
      <c r="G539" s="10" t="s">
        <v>274</v>
      </c>
      <c r="H539" s="10" t="s">
        <v>31</v>
      </c>
      <c r="I539" s="10" t="str">
        <f>HYPERLINK("http://italianurbanstyle.it/","italianurbanstyle.it")</f>
        <v>italianurbanstyle.it</v>
      </c>
      <c r="J539" s="12">
        <v>4.0990000000000002</v>
      </c>
      <c r="K539" s="12">
        <v>4.0990000000000002</v>
      </c>
      <c r="L539" s="12">
        <v>999.03099999999995</v>
      </c>
      <c r="M539" s="12">
        <v>-1.6679999999999999</v>
      </c>
      <c r="N539" s="12">
        <v>-1.6679999999999999</v>
      </c>
      <c r="O539" s="12">
        <v>63.232999999999997</v>
      </c>
      <c r="P539" s="13" t="s">
        <v>24</v>
      </c>
      <c r="Q539" s="13" t="s">
        <v>24</v>
      </c>
      <c r="R539" s="12">
        <v>17</v>
      </c>
    </row>
    <row r="540" spans="1:18" ht="17" customHeight="1" x14ac:dyDescent="0.2">
      <c r="A540" s="5" t="s">
        <v>2292</v>
      </c>
      <c r="B540" s="6" t="s">
        <v>2293</v>
      </c>
      <c r="C540" s="5" t="s">
        <v>2294</v>
      </c>
      <c r="D540" s="5" t="s">
        <v>2294</v>
      </c>
      <c r="E540" s="5" t="s">
        <v>2295</v>
      </c>
      <c r="F540" s="5" t="s">
        <v>181</v>
      </c>
      <c r="G540" s="5" t="s">
        <v>1685</v>
      </c>
      <c r="H540" s="5" t="s">
        <v>43</v>
      </c>
      <c r="I540" s="5" t="str">
        <f>HYPERLINK("http://www.erreditess.it/","www.erreditess.it")</f>
        <v>www.erreditess.it</v>
      </c>
      <c r="J540" s="7">
        <v>1227.355</v>
      </c>
      <c r="K540" s="7">
        <v>1227.355</v>
      </c>
      <c r="L540" s="8">
        <v>998.14800000000002</v>
      </c>
      <c r="M540" s="7">
        <v>244.32599999999999</v>
      </c>
      <c r="N540" s="7">
        <v>244.32599999999999</v>
      </c>
      <c r="O540" s="7">
        <v>238.53800000000001</v>
      </c>
      <c r="P540" s="7">
        <v>8</v>
      </c>
      <c r="Q540" s="7">
        <v>8</v>
      </c>
      <c r="R540" s="7">
        <v>7</v>
      </c>
    </row>
    <row r="541" spans="1:18" ht="17" customHeight="1" x14ac:dyDescent="0.2">
      <c r="A541" s="10" t="s">
        <v>2296</v>
      </c>
      <c r="B541" s="11" t="s">
        <v>2297</v>
      </c>
      <c r="C541" s="10" t="s">
        <v>2298</v>
      </c>
      <c r="D541" s="10" t="s">
        <v>2298</v>
      </c>
      <c r="E541" s="10" t="s">
        <v>2299</v>
      </c>
      <c r="F541" s="10" t="s">
        <v>114</v>
      </c>
      <c r="G541" s="10" t="s">
        <v>158</v>
      </c>
      <c r="H541" s="10" t="s">
        <v>159</v>
      </c>
      <c r="I541" s="10" t="str">
        <f>HYPERLINK("http://www.steson.net/","http://www.steson.net")</f>
        <v>http://www.steson.net</v>
      </c>
      <c r="J541" s="12">
        <v>1220.7070000000001</v>
      </c>
      <c r="K541" s="12">
        <v>1220.7070000000001</v>
      </c>
      <c r="L541" s="12">
        <v>997.86800000000005</v>
      </c>
      <c r="M541" s="12">
        <v>8.7840000000000007</v>
      </c>
      <c r="N541" s="12">
        <v>8.7840000000000007</v>
      </c>
      <c r="O541" s="12">
        <v>10.022</v>
      </c>
      <c r="P541" s="13" t="s">
        <v>24</v>
      </c>
      <c r="Q541" s="13" t="s">
        <v>24</v>
      </c>
      <c r="R541" s="12">
        <v>5</v>
      </c>
    </row>
    <row r="542" spans="1:18" ht="17" customHeight="1" x14ac:dyDescent="0.2">
      <c r="A542" s="5" t="s">
        <v>2300</v>
      </c>
      <c r="B542" s="6" t="s">
        <v>2301</v>
      </c>
      <c r="C542" s="5" t="s">
        <v>2302</v>
      </c>
      <c r="D542" s="5" t="s">
        <v>2302</v>
      </c>
      <c r="E542" s="5" t="s">
        <v>2303</v>
      </c>
      <c r="F542" s="5" t="s">
        <v>41</v>
      </c>
      <c r="G542" s="5" t="s">
        <v>42</v>
      </c>
      <c r="H542" s="5" t="s">
        <v>43</v>
      </c>
      <c r="I542" s="5" t="str">
        <f>HYPERLINK("http://www.bemastyle.com/","www.bemastyle.com")</f>
        <v>www.bemastyle.com</v>
      </c>
      <c r="J542" s="7">
        <v>1009.942</v>
      </c>
      <c r="K542" s="7">
        <v>1009.942</v>
      </c>
      <c r="L542" s="8">
        <v>997.17200000000003</v>
      </c>
      <c r="M542" s="7">
        <v>33.945</v>
      </c>
      <c r="N542" s="7">
        <v>33.945</v>
      </c>
      <c r="O542" s="7">
        <v>12.093</v>
      </c>
      <c r="P542" s="9" t="s">
        <v>24</v>
      </c>
      <c r="Q542" s="9" t="s">
        <v>24</v>
      </c>
      <c r="R542" s="7">
        <v>5</v>
      </c>
    </row>
    <row r="543" spans="1:18" ht="17" customHeight="1" x14ac:dyDescent="0.2">
      <c r="A543" s="10" t="s">
        <v>2304</v>
      </c>
      <c r="B543" s="11" t="s">
        <v>2305</v>
      </c>
      <c r="C543" s="10" t="s">
        <v>2306</v>
      </c>
      <c r="D543" s="10" t="s">
        <v>2306</v>
      </c>
      <c r="E543" s="10" t="s">
        <v>2307</v>
      </c>
      <c r="F543" s="10" t="s">
        <v>48</v>
      </c>
      <c r="G543" s="10" t="s">
        <v>120</v>
      </c>
      <c r="H543" s="10" t="s">
        <v>121</v>
      </c>
      <c r="I543" s="10" t="str">
        <f>HYPERLINK("http://www.ilcinturino.it/","www.ilcinturino.it")</f>
        <v>www.ilcinturino.it</v>
      </c>
      <c r="J543" s="12">
        <v>995.09699999999998</v>
      </c>
      <c r="K543" s="13" t="s">
        <v>24</v>
      </c>
      <c r="L543" s="12">
        <v>995.09699999999998</v>
      </c>
      <c r="M543" s="12">
        <v>16.805</v>
      </c>
      <c r="N543" s="13" t="s">
        <v>24</v>
      </c>
      <c r="O543" s="12">
        <v>16.805</v>
      </c>
      <c r="P543" s="12">
        <v>26</v>
      </c>
      <c r="Q543" s="13" t="s">
        <v>24</v>
      </c>
      <c r="R543" s="12">
        <v>26</v>
      </c>
    </row>
    <row r="544" spans="1:18" ht="17" customHeight="1" x14ac:dyDescent="0.2">
      <c r="A544" s="5" t="s">
        <v>2308</v>
      </c>
      <c r="B544" s="6" t="s">
        <v>2309</v>
      </c>
      <c r="C544" s="5" t="s">
        <v>2310</v>
      </c>
      <c r="D544" s="5" t="s">
        <v>2310</v>
      </c>
      <c r="E544" s="5" t="s">
        <v>2311</v>
      </c>
      <c r="F544" s="5" t="s">
        <v>482</v>
      </c>
      <c r="G544" s="5" t="s">
        <v>293</v>
      </c>
      <c r="H544" s="5" t="s">
        <v>74</v>
      </c>
      <c r="I544" s="5" t="str">
        <f>HYPERLINK("http://www.apex-srl.com/","www.apex-srl.com")</f>
        <v>www.apex-srl.com</v>
      </c>
      <c r="J544" s="7">
        <v>829.41</v>
      </c>
      <c r="K544" s="7">
        <v>829.41</v>
      </c>
      <c r="L544" s="8">
        <v>994.428</v>
      </c>
      <c r="M544" s="7">
        <v>4.8639999999999999</v>
      </c>
      <c r="N544" s="7">
        <v>4.8639999999999999</v>
      </c>
      <c r="O544" s="7">
        <v>7.1479999999999997</v>
      </c>
      <c r="P544" s="9" t="s">
        <v>24</v>
      </c>
      <c r="Q544" s="9" t="s">
        <v>24</v>
      </c>
      <c r="R544" s="7">
        <v>15</v>
      </c>
    </row>
    <row r="545" spans="1:18" ht="17" customHeight="1" x14ac:dyDescent="0.2">
      <c r="A545" s="10" t="s">
        <v>2312</v>
      </c>
      <c r="B545" s="11" t="s">
        <v>2313</v>
      </c>
      <c r="C545" s="10" t="s">
        <v>2314</v>
      </c>
      <c r="D545" s="10" t="s">
        <v>2314</v>
      </c>
      <c r="E545" s="10" t="s">
        <v>2315</v>
      </c>
      <c r="F545" s="10" t="s">
        <v>29</v>
      </c>
      <c r="G545" s="10" t="s">
        <v>274</v>
      </c>
      <c r="H545" s="10" t="s">
        <v>31</v>
      </c>
      <c r="I545" s="10" t="str">
        <f>HYPERLINK("http://www.vm18jeans.it/","www.vm18jeans.it")</f>
        <v>www.vm18jeans.it</v>
      </c>
      <c r="J545" s="12">
        <v>741.96600000000001</v>
      </c>
      <c r="K545" s="12">
        <v>741.96600000000001</v>
      </c>
      <c r="L545" s="12">
        <v>992.375</v>
      </c>
      <c r="M545" s="12">
        <v>35.262999999999998</v>
      </c>
      <c r="N545" s="12">
        <v>35.262999999999998</v>
      </c>
      <c r="O545" s="12">
        <v>10.113</v>
      </c>
      <c r="P545" s="13" t="s">
        <v>24</v>
      </c>
      <c r="Q545" s="13" t="s">
        <v>24</v>
      </c>
      <c r="R545" s="12">
        <v>6</v>
      </c>
    </row>
    <row r="546" spans="1:18" ht="17" customHeight="1" x14ac:dyDescent="0.2">
      <c r="A546" s="5" t="s">
        <v>2316</v>
      </c>
      <c r="B546" s="6" t="s">
        <v>2317</v>
      </c>
      <c r="C546" s="5" t="s">
        <v>2318</v>
      </c>
      <c r="D546" s="5" t="s">
        <v>2318</v>
      </c>
      <c r="E546" s="5" t="s">
        <v>2319</v>
      </c>
      <c r="F546" s="5" t="s">
        <v>149</v>
      </c>
      <c r="G546" s="5" t="s">
        <v>293</v>
      </c>
      <c r="H546" s="5" t="s">
        <v>74</v>
      </c>
      <c r="I546" s="5" t="str">
        <f>HYPERLINK("http://www.carnavalqueen.com/","www.carnavalqueen.com")</f>
        <v>www.carnavalqueen.com</v>
      </c>
      <c r="J546" s="7">
        <v>1377.5909999999999</v>
      </c>
      <c r="K546" s="7">
        <v>1349.796</v>
      </c>
      <c r="L546" s="8">
        <v>992.04600000000005</v>
      </c>
      <c r="M546" s="7">
        <v>31.971</v>
      </c>
      <c r="N546" s="7">
        <v>36.621000000000002</v>
      </c>
      <c r="O546" s="7">
        <v>86.837999999999994</v>
      </c>
      <c r="P546" s="9" t="s">
        <v>24</v>
      </c>
      <c r="Q546" s="7">
        <v>4</v>
      </c>
      <c r="R546" s="7">
        <v>5</v>
      </c>
    </row>
    <row r="547" spans="1:18" ht="29.5" customHeight="1" x14ac:dyDescent="0.2">
      <c r="A547" s="10" t="s">
        <v>2320</v>
      </c>
      <c r="B547" s="11" t="s">
        <v>2321</v>
      </c>
      <c r="C547" s="10" t="s">
        <v>2322</v>
      </c>
      <c r="D547" s="10" t="s">
        <v>2322</v>
      </c>
      <c r="E547" s="10" t="s">
        <v>2323</v>
      </c>
      <c r="F547" s="10" t="s">
        <v>41</v>
      </c>
      <c r="G547" s="10" t="s">
        <v>503</v>
      </c>
      <c r="H547" s="10" t="s">
        <v>62</v>
      </c>
      <c r="I547" s="10" t="str">
        <f>HYPERLINK("http://www.ncleather.net/","www.ncleather.net")</f>
        <v>www.ncleather.net</v>
      </c>
      <c r="J547" s="12">
        <v>1321.115</v>
      </c>
      <c r="K547" s="12">
        <v>1321.115</v>
      </c>
      <c r="L547" s="12">
        <v>991.98199999999997</v>
      </c>
      <c r="M547" s="12">
        <v>46.63</v>
      </c>
      <c r="N547" s="12">
        <v>46.63</v>
      </c>
      <c r="O547" s="12">
        <v>247.36600000000001</v>
      </c>
      <c r="P547" s="12">
        <v>10</v>
      </c>
      <c r="Q547" s="12">
        <v>10</v>
      </c>
      <c r="R547" s="12">
        <v>8</v>
      </c>
    </row>
    <row r="548" spans="1:18" ht="17" customHeight="1" x14ac:dyDescent="0.2">
      <c r="A548" s="5" t="s">
        <v>2324</v>
      </c>
      <c r="B548" s="6" t="s">
        <v>2325</v>
      </c>
      <c r="C548" s="5" t="s">
        <v>2326</v>
      </c>
      <c r="D548" s="5" t="s">
        <v>2326</v>
      </c>
      <c r="E548" s="5" t="s">
        <v>2327</v>
      </c>
      <c r="F548" s="5" t="s">
        <v>105</v>
      </c>
      <c r="G548" s="5" t="s">
        <v>30</v>
      </c>
      <c r="H548" s="5" t="s">
        <v>31</v>
      </c>
      <c r="I548" s="5" t="str">
        <f>HYPERLINK("http://www.raggianti.it/","www.raggianti.it")</f>
        <v>www.raggianti.it</v>
      </c>
      <c r="J548" s="7">
        <v>1468.6669999999999</v>
      </c>
      <c r="K548" s="7">
        <v>1094.674</v>
      </c>
      <c r="L548" s="8">
        <v>991.28800000000001</v>
      </c>
      <c r="M548" s="7">
        <v>73.834999999999994</v>
      </c>
      <c r="N548" s="7">
        <v>20.146999999999998</v>
      </c>
      <c r="O548" s="7">
        <v>12.976000000000001</v>
      </c>
      <c r="P548" s="9" t="s">
        <v>24</v>
      </c>
      <c r="Q548" s="9" t="s">
        <v>24</v>
      </c>
      <c r="R548" s="7">
        <v>23</v>
      </c>
    </row>
    <row r="549" spans="1:18" ht="17" customHeight="1" x14ac:dyDescent="0.2">
      <c r="A549" s="10" t="s">
        <v>2328</v>
      </c>
      <c r="B549" s="11" t="s">
        <v>2329</v>
      </c>
      <c r="C549" s="10" t="s">
        <v>2330</v>
      </c>
      <c r="D549" s="10" t="s">
        <v>2330</v>
      </c>
      <c r="E549" s="10" t="s">
        <v>2331</v>
      </c>
      <c r="F549" s="10" t="s">
        <v>21</v>
      </c>
      <c r="G549" s="10" t="s">
        <v>79</v>
      </c>
      <c r="H549" s="10" t="s">
        <v>56</v>
      </c>
      <c r="I549" s="10" t="str">
        <f>HYPERLINK("http://www.giorgiaformentini.it/","www.giorgiaformentini.it")</f>
        <v>www.giorgiaformentini.it</v>
      </c>
      <c r="J549" s="12">
        <v>3078.36</v>
      </c>
      <c r="K549" s="12">
        <v>3078.36</v>
      </c>
      <c r="L549" s="12">
        <v>990.88</v>
      </c>
      <c r="M549" s="12">
        <v>535.61400000000003</v>
      </c>
      <c r="N549" s="12">
        <v>535.61400000000003</v>
      </c>
      <c r="O549" s="12">
        <v>38.825000000000003</v>
      </c>
      <c r="P549" s="13" t="s">
        <v>24</v>
      </c>
      <c r="Q549" s="13" t="s">
        <v>24</v>
      </c>
      <c r="R549" s="12">
        <v>1</v>
      </c>
    </row>
    <row r="550" spans="1:18" ht="17" customHeight="1" x14ac:dyDescent="0.2">
      <c r="A550" s="5" t="s">
        <v>2332</v>
      </c>
      <c r="B550" s="6" t="s">
        <v>2333</v>
      </c>
      <c r="C550" s="5" t="s">
        <v>2334</v>
      </c>
      <c r="D550" s="5" t="s">
        <v>2334</v>
      </c>
      <c r="E550" s="5" t="s">
        <v>2335</v>
      </c>
      <c r="F550" s="5" t="s">
        <v>149</v>
      </c>
      <c r="G550" s="5" t="s">
        <v>676</v>
      </c>
      <c r="H550" s="5" t="s">
        <v>74</v>
      </c>
      <c r="I550" s="5" t="str">
        <f>HYPERLINK("http://www.damasportswear.com/","www.damasportswear.com")</f>
        <v>www.damasportswear.com</v>
      </c>
      <c r="J550" s="7">
        <v>720.53200000000004</v>
      </c>
      <c r="K550" s="7">
        <v>720.53200000000004</v>
      </c>
      <c r="L550" s="8">
        <v>990.77</v>
      </c>
      <c r="M550" s="7">
        <v>0.68</v>
      </c>
      <c r="N550" s="7">
        <v>0.68</v>
      </c>
      <c r="O550" s="7">
        <v>1.1850000000000001</v>
      </c>
      <c r="P550" s="9" t="s">
        <v>24</v>
      </c>
      <c r="Q550" s="9" t="s">
        <v>24</v>
      </c>
      <c r="R550" s="7">
        <v>13</v>
      </c>
    </row>
    <row r="551" spans="1:18" ht="17" customHeight="1" x14ac:dyDescent="0.2">
      <c r="A551" s="10" t="s">
        <v>2336</v>
      </c>
      <c r="B551" s="11" t="s">
        <v>2337</v>
      </c>
      <c r="C551" s="10" t="s">
        <v>2338</v>
      </c>
      <c r="D551" s="10" t="s">
        <v>2338</v>
      </c>
      <c r="E551" s="10" t="s">
        <v>2339</v>
      </c>
      <c r="F551" s="10" t="s">
        <v>21</v>
      </c>
      <c r="G551" s="10" t="s">
        <v>49</v>
      </c>
      <c r="H551" s="10" t="s">
        <v>23</v>
      </c>
      <c r="I551" s="10" t="str">
        <f>HYPERLINK("http://www.enzimaservice.com/","www.enzimaservice.com")</f>
        <v>www.enzimaservice.com</v>
      </c>
      <c r="J551" s="12">
        <v>1033.1199999999999</v>
      </c>
      <c r="K551" s="12">
        <v>1033.1199999999999</v>
      </c>
      <c r="L551" s="12">
        <v>989.76700000000005</v>
      </c>
      <c r="M551" s="12">
        <v>1.44</v>
      </c>
      <c r="N551" s="12">
        <v>1.44</v>
      </c>
      <c r="O551" s="12">
        <v>8.2970000000000006</v>
      </c>
      <c r="P551" s="12">
        <v>1</v>
      </c>
      <c r="Q551" s="12">
        <v>1</v>
      </c>
      <c r="R551" s="12">
        <v>1</v>
      </c>
    </row>
    <row r="552" spans="1:18" ht="29.5" customHeight="1" x14ac:dyDescent="0.2">
      <c r="A552" s="5" t="s">
        <v>2340</v>
      </c>
      <c r="B552" s="6" t="s">
        <v>2341</v>
      </c>
      <c r="C552" s="5" t="s">
        <v>2342</v>
      </c>
      <c r="D552" s="5" t="s">
        <v>2342</v>
      </c>
      <c r="E552" s="5" t="s">
        <v>2343</v>
      </c>
      <c r="F552" s="5" t="s">
        <v>21</v>
      </c>
      <c r="G552" s="5" t="s">
        <v>36</v>
      </c>
      <c r="H552" s="5" t="s">
        <v>23</v>
      </c>
      <c r="I552" s="5" t="str">
        <f>HYPERLINK("http://www.calzaturificiocappellisrl.it/","www.calzaturificiocappellisrl.it")</f>
        <v>www.calzaturificiocappellisrl.it</v>
      </c>
      <c r="J552" s="7">
        <v>964.55100000000004</v>
      </c>
      <c r="K552" s="7">
        <v>964.55100000000004</v>
      </c>
      <c r="L552" s="8">
        <v>985.57399999999996</v>
      </c>
      <c r="M552" s="7">
        <v>126.377</v>
      </c>
      <c r="N552" s="7">
        <v>126.377</v>
      </c>
      <c r="O552" s="7">
        <v>15.17</v>
      </c>
      <c r="P552" s="7">
        <v>15</v>
      </c>
      <c r="Q552" s="7">
        <v>15</v>
      </c>
      <c r="R552" s="7">
        <v>12</v>
      </c>
    </row>
    <row r="553" spans="1:18" ht="17" customHeight="1" x14ac:dyDescent="0.2">
      <c r="A553" s="10" t="s">
        <v>2344</v>
      </c>
      <c r="B553" s="11" t="s">
        <v>2345</v>
      </c>
      <c r="C553" s="10" t="s">
        <v>2346</v>
      </c>
      <c r="D553" s="10" t="s">
        <v>2346</v>
      </c>
      <c r="E553" s="10" t="s">
        <v>2347</v>
      </c>
      <c r="F553" s="10" t="s">
        <v>105</v>
      </c>
      <c r="G553" s="10" t="s">
        <v>79</v>
      </c>
      <c r="H553" s="10" t="s">
        <v>56</v>
      </c>
      <c r="I553" s="10" t="str">
        <f>HYPERLINK("http://www.complit.it/","www.complit.it")</f>
        <v>www.complit.it</v>
      </c>
      <c r="J553" s="12">
        <v>1080.1890000000001</v>
      </c>
      <c r="K553" s="12">
        <v>1080.1890000000001</v>
      </c>
      <c r="L553" s="12">
        <v>984.53899999999999</v>
      </c>
      <c r="M553" s="12">
        <v>16.984000000000002</v>
      </c>
      <c r="N553" s="12">
        <v>16.984000000000002</v>
      </c>
      <c r="O553" s="12">
        <v>8.5030000000000001</v>
      </c>
      <c r="P553" s="12">
        <v>18</v>
      </c>
      <c r="Q553" s="12">
        <v>18</v>
      </c>
      <c r="R553" s="12">
        <v>16</v>
      </c>
    </row>
    <row r="554" spans="1:18" ht="17" customHeight="1" x14ac:dyDescent="0.2">
      <c r="A554" s="5" t="s">
        <v>2348</v>
      </c>
      <c r="B554" s="6" t="s">
        <v>2349</v>
      </c>
      <c r="C554" s="5" t="s">
        <v>2350</v>
      </c>
      <c r="D554" s="5" t="s">
        <v>2350</v>
      </c>
      <c r="E554" s="5" t="s">
        <v>2351</v>
      </c>
      <c r="F554" s="5" t="s">
        <v>149</v>
      </c>
      <c r="G554" s="5" t="s">
        <v>42</v>
      </c>
      <c r="H554" s="5" t="s">
        <v>43</v>
      </c>
      <c r="I554" s="5" t="str">
        <f>HYPERLINK("http://tofit.net/","tofit.net")</f>
        <v>tofit.net</v>
      </c>
      <c r="J554" s="7">
        <v>1053.6189999999999</v>
      </c>
      <c r="K554" s="7">
        <v>1053.6189999999999</v>
      </c>
      <c r="L554" s="8">
        <v>979.048</v>
      </c>
      <c r="M554" s="7">
        <v>18.798999999999999</v>
      </c>
      <c r="N554" s="7">
        <v>18.798999999999999</v>
      </c>
      <c r="O554" s="7">
        <v>61.756999999999998</v>
      </c>
      <c r="P554" s="7">
        <v>5</v>
      </c>
      <c r="Q554" s="7">
        <v>5</v>
      </c>
      <c r="R554" s="7">
        <v>3</v>
      </c>
    </row>
    <row r="555" spans="1:18" ht="29.5" customHeight="1" x14ac:dyDescent="0.2">
      <c r="A555" s="10" t="s">
        <v>2352</v>
      </c>
      <c r="B555" s="11" t="s">
        <v>2353</v>
      </c>
      <c r="C555" s="10" t="s">
        <v>2354</v>
      </c>
      <c r="D555" s="10" t="s">
        <v>2354</v>
      </c>
      <c r="E555" s="10" t="s">
        <v>2355</v>
      </c>
      <c r="F555" s="10" t="s">
        <v>48</v>
      </c>
      <c r="G555" s="10" t="s">
        <v>190</v>
      </c>
      <c r="H555" s="10" t="s">
        <v>74</v>
      </c>
      <c r="I555" s="10" t="str">
        <f>HYPERLINK("http://www.santagostino-milano.it/","www.santagostino-milano.it")</f>
        <v>www.santagostino-milano.it</v>
      </c>
      <c r="J555" s="12">
        <v>1964.855</v>
      </c>
      <c r="K555" s="12">
        <v>1964.855</v>
      </c>
      <c r="L555" s="12">
        <v>978.11500000000001</v>
      </c>
      <c r="M555" s="12">
        <v>816.33199999999999</v>
      </c>
      <c r="N555" s="12">
        <v>816.33199999999999</v>
      </c>
      <c r="O555" s="12">
        <v>247.95500000000001</v>
      </c>
      <c r="P555" s="12">
        <v>0</v>
      </c>
      <c r="Q555" s="12">
        <v>0</v>
      </c>
      <c r="R555" s="12">
        <v>0</v>
      </c>
    </row>
    <row r="556" spans="1:18" ht="29.5" customHeight="1" x14ac:dyDescent="0.2">
      <c r="A556" s="5" t="s">
        <v>2356</v>
      </c>
      <c r="B556" s="6" t="s">
        <v>2357</v>
      </c>
      <c r="C556" s="5" t="s">
        <v>2358</v>
      </c>
      <c r="D556" s="5" t="s">
        <v>2358</v>
      </c>
      <c r="E556" s="5" t="s">
        <v>2359</v>
      </c>
      <c r="F556" s="5" t="s">
        <v>29</v>
      </c>
      <c r="G556" s="5" t="s">
        <v>810</v>
      </c>
      <c r="H556" s="5" t="s">
        <v>121</v>
      </c>
      <c r="I556" s="5" t="str">
        <f>HYPERLINK("http://italianfashionsrl.com/","italianfashionsrl.com")</f>
        <v>italianfashionsrl.com</v>
      </c>
      <c r="J556" s="7">
        <v>777.52700000000004</v>
      </c>
      <c r="K556" s="7">
        <v>777.52700000000004</v>
      </c>
      <c r="L556" s="8">
        <v>977.74699999999996</v>
      </c>
      <c r="M556" s="7">
        <v>38.134999999999998</v>
      </c>
      <c r="N556" s="7">
        <v>38.134999999999998</v>
      </c>
      <c r="O556" s="7">
        <v>83.486000000000004</v>
      </c>
      <c r="P556" s="9" t="s">
        <v>24</v>
      </c>
      <c r="Q556" s="9" t="s">
        <v>24</v>
      </c>
      <c r="R556" s="7">
        <v>15</v>
      </c>
    </row>
    <row r="557" spans="1:18" ht="17" customHeight="1" x14ac:dyDescent="0.2">
      <c r="A557" s="10" t="s">
        <v>2360</v>
      </c>
      <c r="B557" s="11" t="s">
        <v>2361</v>
      </c>
      <c r="C557" s="10" t="s">
        <v>2362</v>
      </c>
      <c r="D557" s="10" t="s">
        <v>2362</v>
      </c>
      <c r="E557" s="10" t="s">
        <v>2363</v>
      </c>
      <c r="F557" s="10" t="s">
        <v>54</v>
      </c>
      <c r="G557" s="10" t="s">
        <v>79</v>
      </c>
      <c r="H557" s="10" t="s">
        <v>56</v>
      </c>
      <c r="I557" s="10" t="str">
        <f>HYPERLINK("http://www.angelettigroup.eu/","www.angelettigroup.eu")</f>
        <v>www.angelettigroup.eu</v>
      </c>
      <c r="J557" s="12">
        <v>790.69799999999998</v>
      </c>
      <c r="K557" s="12">
        <v>790.69799999999998</v>
      </c>
      <c r="L557" s="12">
        <v>977.03</v>
      </c>
      <c r="M557" s="12">
        <v>64.477999999999994</v>
      </c>
      <c r="N557" s="12">
        <v>64.477999999999994</v>
      </c>
      <c r="O557" s="12">
        <v>106.633</v>
      </c>
      <c r="P557" s="13" t="s">
        <v>24</v>
      </c>
      <c r="Q557" s="13" t="s">
        <v>24</v>
      </c>
      <c r="R557" s="12">
        <v>5</v>
      </c>
    </row>
    <row r="558" spans="1:18" ht="17" customHeight="1" x14ac:dyDescent="0.2">
      <c r="A558" s="5" t="s">
        <v>2364</v>
      </c>
      <c r="B558" s="6" t="s">
        <v>2365</v>
      </c>
      <c r="C558" s="5" t="s">
        <v>2366</v>
      </c>
      <c r="D558" s="5" t="s">
        <v>2366</v>
      </c>
      <c r="E558" s="5" t="s">
        <v>2367</v>
      </c>
      <c r="F558" s="5" t="s">
        <v>134</v>
      </c>
      <c r="G558" s="5" t="s">
        <v>67</v>
      </c>
      <c r="H558" s="5" t="s">
        <v>43</v>
      </c>
      <c r="I558" s="5" t="str">
        <f>HYPERLINK("http://www.masieroconfezioni.it/","www.masieroconfezioni.it")</f>
        <v>www.masieroconfezioni.it</v>
      </c>
      <c r="J558" s="7">
        <v>925.74</v>
      </c>
      <c r="K558" s="7">
        <v>925.74</v>
      </c>
      <c r="L558" s="8">
        <v>976.46400000000006</v>
      </c>
      <c r="M558" s="7">
        <v>17.32</v>
      </c>
      <c r="N558" s="7">
        <v>17.32</v>
      </c>
      <c r="O558" s="7">
        <v>30.42</v>
      </c>
      <c r="P558" s="7">
        <v>15</v>
      </c>
      <c r="Q558" s="7">
        <v>15</v>
      </c>
      <c r="R558" s="7">
        <v>14</v>
      </c>
    </row>
    <row r="559" spans="1:18" ht="17" customHeight="1" x14ac:dyDescent="0.2">
      <c r="A559" s="10" t="s">
        <v>2368</v>
      </c>
      <c r="B559" s="11" t="s">
        <v>2369</v>
      </c>
      <c r="C559" s="10" t="s">
        <v>2370</v>
      </c>
      <c r="D559" s="10" t="s">
        <v>2370</v>
      </c>
      <c r="E559" s="10" t="s">
        <v>2371</v>
      </c>
      <c r="F559" s="10" t="s">
        <v>181</v>
      </c>
      <c r="G559" s="10" t="s">
        <v>158</v>
      </c>
      <c r="H559" s="10" t="s">
        <v>159</v>
      </c>
      <c r="I559" s="10" t="str">
        <f>HYPERLINK("http://www.produzionemaglieriadueci.it/","www.produzionemaglieriadueci.it")</f>
        <v>www.produzionemaglieriadueci.it</v>
      </c>
      <c r="J559" s="12">
        <v>1008.229</v>
      </c>
      <c r="K559" s="12">
        <v>1008.229</v>
      </c>
      <c r="L559" s="12">
        <v>976.04</v>
      </c>
      <c r="M559" s="12">
        <v>26.908999999999999</v>
      </c>
      <c r="N559" s="12">
        <v>26.908999999999999</v>
      </c>
      <c r="O559" s="12">
        <v>15.323</v>
      </c>
      <c r="P559" s="12">
        <v>18</v>
      </c>
      <c r="Q559" s="12">
        <v>18</v>
      </c>
      <c r="R559" s="12">
        <v>18</v>
      </c>
    </row>
    <row r="560" spans="1:18" ht="17" customHeight="1" x14ac:dyDescent="0.2">
      <c r="A560" s="5" t="s">
        <v>2372</v>
      </c>
      <c r="B560" s="6" t="s">
        <v>2373</v>
      </c>
      <c r="C560" s="5" t="s">
        <v>2374</v>
      </c>
      <c r="D560" s="5" t="s">
        <v>2374</v>
      </c>
      <c r="E560" s="5" t="s">
        <v>2375</v>
      </c>
      <c r="F560" s="5" t="s">
        <v>105</v>
      </c>
      <c r="G560" s="5" t="s">
        <v>100</v>
      </c>
      <c r="H560" s="5" t="s">
        <v>62</v>
      </c>
      <c r="I560" s="5" t="str">
        <f>HYPERLINK("http://mediatex.it/","mediatex.it")</f>
        <v>mediatex.it</v>
      </c>
      <c r="J560" s="7">
        <v>898.09</v>
      </c>
      <c r="K560" s="7">
        <v>898.09</v>
      </c>
      <c r="L560" s="8">
        <v>975.79700000000003</v>
      </c>
      <c r="M560" s="7">
        <v>15.734999999999999</v>
      </c>
      <c r="N560" s="7">
        <v>15.734999999999999</v>
      </c>
      <c r="O560" s="7">
        <v>20.448</v>
      </c>
      <c r="P560" s="9" t="s">
        <v>24</v>
      </c>
      <c r="Q560" s="9" t="s">
        <v>24</v>
      </c>
      <c r="R560" s="7">
        <v>0</v>
      </c>
    </row>
    <row r="561" spans="1:18" ht="55.75" customHeight="1" x14ac:dyDescent="0.2">
      <c r="A561" s="10" t="s">
        <v>2376</v>
      </c>
      <c r="B561" s="11" t="s">
        <v>2377</v>
      </c>
      <c r="C561" s="10" t="s">
        <v>2378</v>
      </c>
      <c r="D561" s="10" t="s">
        <v>2378</v>
      </c>
      <c r="E561" s="10" t="s">
        <v>2379</v>
      </c>
      <c r="F561" s="10" t="s">
        <v>21</v>
      </c>
      <c r="G561" s="10" t="s">
        <v>36</v>
      </c>
      <c r="H561" s="10" t="s">
        <v>23</v>
      </c>
      <c r="I561" s="10" t="str">
        <f>HYPERLINK("http://www.calzaturificiopamar.it/","www.calzaturificiopamar.it")</f>
        <v>www.calzaturificiopamar.it</v>
      </c>
      <c r="J561" s="12">
        <v>812.88699999999994</v>
      </c>
      <c r="K561" s="12">
        <v>812.88699999999994</v>
      </c>
      <c r="L561" s="12">
        <v>975.19299999999998</v>
      </c>
      <c r="M561" s="12">
        <v>24.172999999999998</v>
      </c>
      <c r="N561" s="12">
        <v>24.172999999999998</v>
      </c>
      <c r="O561" s="12">
        <v>69.265000000000001</v>
      </c>
      <c r="P561" s="12">
        <v>13</v>
      </c>
      <c r="Q561" s="12">
        <v>13</v>
      </c>
      <c r="R561" s="12">
        <v>14</v>
      </c>
    </row>
    <row r="562" spans="1:18" ht="17" customHeight="1" x14ac:dyDescent="0.2">
      <c r="A562" s="5" t="s">
        <v>2380</v>
      </c>
      <c r="B562" s="6" t="s">
        <v>2381</v>
      </c>
      <c r="C562" s="5" t="s">
        <v>2382</v>
      </c>
      <c r="D562" s="5" t="s">
        <v>2382</v>
      </c>
      <c r="E562" s="5" t="s">
        <v>2383</v>
      </c>
      <c r="F562" s="5" t="s">
        <v>48</v>
      </c>
      <c r="G562" s="5" t="s">
        <v>49</v>
      </c>
      <c r="H562" s="5" t="s">
        <v>23</v>
      </c>
      <c r="I562" s="5" t="str">
        <f>HYPERLINK("http://www.niccolibags.com/","www.niccolibags.com")</f>
        <v>www.niccolibags.com</v>
      </c>
      <c r="J562" s="7">
        <v>1822.3610000000001</v>
      </c>
      <c r="K562" s="7">
        <v>1822.3610000000001</v>
      </c>
      <c r="L562" s="8">
        <v>972.61400000000003</v>
      </c>
      <c r="M562" s="7">
        <v>59.283999999999999</v>
      </c>
      <c r="N562" s="7">
        <v>59.283999999999999</v>
      </c>
      <c r="O562" s="7">
        <v>5.8179999999999996</v>
      </c>
      <c r="P562" s="9" t="s">
        <v>24</v>
      </c>
      <c r="Q562" s="9" t="s">
        <v>24</v>
      </c>
      <c r="R562" s="7">
        <v>7</v>
      </c>
    </row>
    <row r="563" spans="1:18" ht="55.75" customHeight="1" x14ac:dyDescent="0.2">
      <c r="A563" s="10" t="s">
        <v>2384</v>
      </c>
      <c r="B563" s="11" t="s">
        <v>2385</v>
      </c>
      <c r="C563" s="10" t="s">
        <v>2386</v>
      </c>
      <c r="D563" s="10" t="s">
        <v>2386</v>
      </c>
      <c r="E563" s="10" t="s">
        <v>2387</v>
      </c>
      <c r="F563" s="10" t="s">
        <v>367</v>
      </c>
      <c r="G563" s="10" t="s">
        <v>42</v>
      </c>
      <c r="H563" s="10" t="s">
        <v>43</v>
      </c>
      <c r="I563" s="10" t="str">
        <f>HYPERLINK("http://panarotto.net/","panarotto.net")</f>
        <v>panarotto.net</v>
      </c>
      <c r="J563" s="12">
        <v>1017.997</v>
      </c>
      <c r="K563" s="12">
        <v>1017.997</v>
      </c>
      <c r="L563" s="12">
        <v>972.28399999999999</v>
      </c>
      <c r="M563" s="12">
        <v>119.157</v>
      </c>
      <c r="N563" s="12">
        <v>119.157</v>
      </c>
      <c r="O563" s="12">
        <v>118.258</v>
      </c>
      <c r="P563" s="13" t="s">
        <v>24</v>
      </c>
      <c r="Q563" s="13" t="s">
        <v>24</v>
      </c>
      <c r="R563" s="12">
        <v>13</v>
      </c>
    </row>
    <row r="564" spans="1:18" ht="29.5" customHeight="1" x14ac:dyDescent="0.2">
      <c r="A564" s="5" t="s">
        <v>2388</v>
      </c>
      <c r="B564" s="6" t="s">
        <v>2389</v>
      </c>
      <c r="C564" s="5" t="s">
        <v>2390</v>
      </c>
      <c r="D564" s="5" t="s">
        <v>2390</v>
      </c>
      <c r="E564" s="5" t="s">
        <v>2391</v>
      </c>
      <c r="F564" s="5" t="s">
        <v>48</v>
      </c>
      <c r="G564" s="5" t="s">
        <v>73</v>
      </c>
      <c r="H564" s="5" t="s">
        <v>74</v>
      </c>
      <c r="I564" s="5" t="str">
        <f>HYPERLINK("http://cinturificiobresciano.it/","cinturificiobresciano.it")</f>
        <v>cinturificiobresciano.it</v>
      </c>
      <c r="J564" s="7">
        <v>843.86099999999999</v>
      </c>
      <c r="K564" s="7">
        <v>843.86099999999999</v>
      </c>
      <c r="L564" s="8">
        <v>970.90300000000002</v>
      </c>
      <c r="M564" s="7">
        <v>5.6470000000000002</v>
      </c>
      <c r="N564" s="7">
        <v>5.6470000000000002</v>
      </c>
      <c r="O564" s="7">
        <v>2.7919999999999998</v>
      </c>
      <c r="P564" s="7">
        <v>8</v>
      </c>
      <c r="Q564" s="7">
        <v>8</v>
      </c>
      <c r="R564" s="7">
        <v>8</v>
      </c>
    </row>
    <row r="565" spans="1:18" ht="43" customHeight="1" x14ac:dyDescent="0.2">
      <c r="A565" s="10" t="s">
        <v>2392</v>
      </c>
      <c r="B565" s="11" t="s">
        <v>2393</v>
      </c>
      <c r="C565" s="10" t="s">
        <v>2394</v>
      </c>
      <c r="D565" s="10" t="s">
        <v>2394</v>
      </c>
      <c r="E565" s="10" t="s">
        <v>2395</v>
      </c>
      <c r="F565" s="10" t="s">
        <v>21</v>
      </c>
      <c r="G565" s="10" t="s">
        <v>79</v>
      </c>
      <c r="H565" s="10" t="s">
        <v>56</v>
      </c>
      <c r="I565" s="10" t="str">
        <f>HYPERLINK("http://www.giancarlopaoli.com/","www.giancarlopaoli.com")</f>
        <v>www.giancarlopaoli.com</v>
      </c>
      <c r="J565" s="12">
        <v>626.673</v>
      </c>
      <c r="K565" s="12">
        <v>626.673</v>
      </c>
      <c r="L565" s="12">
        <v>970.83399999999995</v>
      </c>
      <c r="M565" s="12">
        <v>2.3530000000000002</v>
      </c>
      <c r="N565" s="12">
        <v>2.3530000000000002</v>
      </c>
      <c r="O565" s="12">
        <v>15.539</v>
      </c>
      <c r="P565" s="13" t="s">
        <v>24</v>
      </c>
      <c r="Q565" s="13" t="s">
        <v>24</v>
      </c>
      <c r="R565" s="12">
        <v>2</v>
      </c>
    </row>
    <row r="566" spans="1:18" ht="17" customHeight="1" x14ac:dyDescent="0.2">
      <c r="A566" s="5" t="s">
        <v>2396</v>
      </c>
      <c r="B566" s="6" t="s">
        <v>2397</v>
      </c>
      <c r="C566" s="5" t="s">
        <v>2398</v>
      </c>
      <c r="D566" s="5" t="s">
        <v>2398</v>
      </c>
      <c r="E566" s="5" t="s">
        <v>2399</v>
      </c>
      <c r="F566" s="5" t="s">
        <v>105</v>
      </c>
      <c r="G566" s="5" t="s">
        <v>89</v>
      </c>
      <c r="H566" s="5" t="s">
        <v>56</v>
      </c>
      <c r="I566" s="5" t="str">
        <f>HYPERLINK("http://www.egisrl.com/","www.egisrl.com")</f>
        <v>www.egisrl.com</v>
      </c>
      <c r="J566" s="7">
        <v>709.88199999999995</v>
      </c>
      <c r="K566" s="7">
        <v>709.88199999999995</v>
      </c>
      <c r="L566" s="8">
        <v>969.33299999999997</v>
      </c>
      <c r="M566" s="7">
        <v>23.148</v>
      </c>
      <c r="N566" s="7">
        <v>23.148</v>
      </c>
      <c r="O566" s="7">
        <v>6.4450000000000003</v>
      </c>
      <c r="P566" s="7">
        <v>14</v>
      </c>
      <c r="Q566" s="7">
        <v>14</v>
      </c>
      <c r="R566" s="7">
        <v>10</v>
      </c>
    </row>
    <row r="567" spans="1:18" ht="17" customHeight="1" x14ac:dyDescent="0.2">
      <c r="A567" s="10" t="s">
        <v>2400</v>
      </c>
      <c r="B567" s="11" t="s">
        <v>2401</v>
      </c>
      <c r="C567" s="10" t="s">
        <v>2402</v>
      </c>
      <c r="D567" s="10" t="s">
        <v>2402</v>
      </c>
      <c r="E567" s="10" t="s">
        <v>2403</v>
      </c>
      <c r="F567" s="10" t="s">
        <v>41</v>
      </c>
      <c r="G567" s="10" t="s">
        <v>224</v>
      </c>
      <c r="H567" s="10" t="s">
        <v>23</v>
      </c>
      <c r="I567" s="10" t="str">
        <f>HYPERLINK("http://www.violarasaturapelli.it/","www.violarasaturapelli.it")</f>
        <v>www.violarasaturapelli.it</v>
      </c>
      <c r="J567" s="12">
        <v>988.45899999999995</v>
      </c>
      <c r="K567" s="12">
        <v>988.45899999999995</v>
      </c>
      <c r="L567" s="12">
        <v>968.39800000000002</v>
      </c>
      <c r="M567" s="12">
        <v>1.2929999999999999</v>
      </c>
      <c r="N567" s="12">
        <v>1.2929999999999999</v>
      </c>
      <c r="O567" s="12">
        <v>17.27</v>
      </c>
      <c r="P567" s="12">
        <v>10</v>
      </c>
      <c r="Q567" s="12">
        <v>10</v>
      </c>
      <c r="R567" s="12">
        <v>4</v>
      </c>
    </row>
    <row r="568" spans="1:18" ht="29.5" customHeight="1" x14ac:dyDescent="0.2">
      <c r="A568" s="5" t="s">
        <v>2404</v>
      </c>
      <c r="B568" s="6" t="s">
        <v>2405</v>
      </c>
      <c r="C568" s="5" t="s">
        <v>2406</v>
      </c>
      <c r="D568" s="5" t="s">
        <v>2406</v>
      </c>
      <c r="E568" s="5" t="s">
        <v>2407</v>
      </c>
      <c r="F568" s="5" t="s">
        <v>29</v>
      </c>
      <c r="G568" s="5" t="s">
        <v>67</v>
      </c>
      <c r="H568" s="5" t="s">
        <v>43</v>
      </c>
      <c r="I568" s="5" t="str">
        <f>HYPERLINK("http://www.lamascot.com/","www.lamascot.com")</f>
        <v>www.lamascot.com</v>
      </c>
      <c r="J568" s="7">
        <v>1127.095</v>
      </c>
      <c r="K568" s="7">
        <v>1127.095</v>
      </c>
      <c r="L568" s="8">
        <v>965.60500000000002</v>
      </c>
      <c r="M568" s="7">
        <v>29.26</v>
      </c>
      <c r="N568" s="7">
        <v>29.26</v>
      </c>
      <c r="O568" s="7">
        <v>17.401</v>
      </c>
      <c r="P568" s="7">
        <v>28</v>
      </c>
      <c r="Q568" s="7">
        <v>28</v>
      </c>
      <c r="R568" s="7">
        <v>22</v>
      </c>
    </row>
    <row r="569" spans="1:18" ht="29.5" customHeight="1" x14ac:dyDescent="0.2">
      <c r="A569" s="10" t="s">
        <v>2408</v>
      </c>
      <c r="B569" s="11" t="s">
        <v>2409</v>
      </c>
      <c r="C569" s="10" t="s">
        <v>2410</v>
      </c>
      <c r="D569" s="10" t="s">
        <v>2410</v>
      </c>
      <c r="E569" s="10" t="s">
        <v>2411</v>
      </c>
      <c r="F569" s="10" t="s">
        <v>48</v>
      </c>
      <c r="G569" s="10" t="s">
        <v>49</v>
      </c>
      <c r="H569" s="10" t="s">
        <v>23</v>
      </c>
      <c r="I569" s="10" t="str">
        <f>HYPERLINK("http://www.gasgroupsrl.it/","www.gasgroupsrl.it")</f>
        <v>www.gasgroupsrl.it</v>
      </c>
      <c r="J569" s="12">
        <v>965.54200000000003</v>
      </c>
      <c r="K569" s="13" t="s">
        <v>24</v>
      </c>
      <c r="L569" s="12">
        <v>965.54200000000003</v>
      </c>
      <c r="M569" s="12">
        <v>-66.628</v>
      </c>
      <c r="N569" s="13" t="s">
        <v>24</v>
      </c>
      <c r="O569" s="12">
        <v>-66.628</v>
      </c>
      <c r="P569" s="13" t="s">
        <v>24</v>
      </c>
      <c r="Q569" s="13" t="s">
        <v>24</v>
      </c>
      <c r="R569" s="13" t="s">
        <v>24</v>
      </c>
    </row>
    <row r="570" spans="1:18" ht="17" customHeight="1" x14ac:dyDescent="0.2">
      <c r="A570" s="5" t="s">
        <v>2412</v>
      </c>
      <c r="B570" s="6" t="s">
        <v>2413</v>
      </c>
      <c r="C570" s="5" t="s">
        <v>2414</v>
      </c>
      <c r="D570" s="5" t="s">
        <v>2414</v>
      </c>
      <c r="E570" s="5" t="s">
        <v>2415</v>
      </c>
      <c r="F570" s="5" t="s">
        <v>54</v>
      </c>
      <c r="G570" s="5" t="s">
        <v>100</v>
      </c>
      <c r="H570" s="5" t="s">
        <v>62</v>
      </c>
      <c r="I570" s="5" t="str">
        <f>HYPERLINK("http://www.gifralsrl.it/","www.gifralsrl.it")</f>
        <v>www.gifralsrl.it</v>
      </c>
      <c r="J570" s="7">
        <v>835.60299999999995</v>
      </c>
      <c r="K570" s="7">
        <v>835.60299999999995</v>
      </c>
      <c r="L570" s="8">
        <v>965.45899999999995</v>
      </c>
      <c r="M570" s="7">
        <v>20.792999999999999</v>
      </c>
      <c r="N570" s="7">
        <v>20.792999999999999</v>
      </c>
      <c r="O570" s="7">
        <v>37.317</v>
      </c>
      <c r="P570" s="9" t="s">
        <v>24</v>
      </c>
      <c r="Q570" s="9" t="s">
        <v>24</v>
      </c>
      <c r="R570" s="7">
        <v>9</v>
      </c>
    </row>
    <row r="571" spans="1:18" ht="17" customHeight="1" x14ac:dyDescent="0.2">
      <c r="A571" s="10" t="s">
        <v>2416</v>
      </c>
      <c r="B571" s="11" t="s">
        <v>2417</v>
      </c>
      <c r="C571" s="10" t="s">
        <v>2418</v>
      </c>
      <c r="D571" s="10" t="s">
        <v>2418</v>
      </c>
      <c r="E571" s="10" t="s">
        <v>2419</v>
      </c>
      <c r="F571" s="10" t="s">
        <v>114</v>
      </c>
      <c r="G571" s="10" t="s">
        <v>234</v>
      </c>
      <c r="H571" s="10" t="s">
        <v>23</v>
      </c>
      <c r="I571" s="10" t="str">
        <f>HYPERLINK("http://www.amazzell.it/","www.amazzell.it")</f>
        <v>www.amazzell.it</v>
      </c>
      <c r="J571" s="12">
        <v>1140.3510000000001</v>
      </c>
      <c r="K571" s="12">
        <v>1140.3510000000001</v>
      </c>
      <c r="L571" s="12">
        <v>965.33699999999999</v>
      </c>
      <c r="M571" s="12">
        <v>7.67</v>
      </c>
      <c r="N571" s="12">
        <v>7.67</v>
      </c>
      <c r="O571" s="12">
        <v>8.6780000000000008</v>
      </c>
      <c r="P571" s="13" t="s">
        <v>24</v>
      </c>
      <c r="Q571" s="13" t="s">
        <v>24</v>
      </c>
      <c r="R571" s="12">
        <v>7</v>
      </c>
    </row>
    <row r="572" spans="1:18" ht="17" customHeight="1" x14ac:dyDescent="0.2">
      <c r="A572" s="5" t="s">
        <v>2420</v>
      </c>
      <c r="B572" s="6" t="s">
        <v>2421</v>
      </c>
      <c r="C572" s="5" t="s">
        <v>2422</v>
      </c>
      <c r="D572" s="5" t="s">
        <v>2422</v>
      </c>
      <c r="E572" s="5" t="s">
        <v>2423</v>
      </c>
      <c r="F572" s="5" t="s">
        <v>54</v>
      </c>
      <c r="G572" s="5" t="s">
        <v>100</v>
      </c>
      <c r="H572" s="5" t="s">
        <v>62</v>
      </c>
      <c r="I572" s="5" t="str">
        <f>HYPERLINK("http://www.suolificioormasrl.com/","www.suolificioormasrl.com")</f>
        <v>www.suolificioormasrl.com</v>
      </c>
      <c r="J572" s="7">
        <v>880.80799999999999</v>
      </c>
      <c r="K572" s="7">
        <v>880.80799999999999</v>
      </c>
      <c r="L572" s="8">
        <v>964.10500000000002</v>
      </c>
      <c r="M572" s="7">
        <v>7.532</v>
      </c>
      <c r="N572" s="7">
        <v>7.532</v>
      </c>
      <c r="O572" s="7">
        <v>11.613</v>
      </c>
      <c r="P572" s="9" t="s">
        <v>24</v>
      </c>
      <c r="Q572" s="9" t="s">
        <v>24</v>
      </c>
      <c r="R572" s="9" t="s">
        <v>24</v>
      </c>
    </row>
    <row r="573" spans="1:18" ht="29.5" customHeight="1" x14ac:dyDescent="0.2">
      <c r="A573" s="10" t="s">
        <v>2424</v>
      </c>
      <c r="B573" s="11" t="s">
        <v>2425</v>
      </c>
      <c r="C573" s="10" t="s">
        <v>2426</v>
      </c>
      <c r="D573" s="10" t="s">
        <v>2426</v>
      </c>
      <c r="E573" s="10" t="s">
        <v>2427</v>
      </c>
      <c r="F573" s="10" t="s">
        <v>114</v>
      </c>
      <c r="G573" s="10" t="s">
        <v>293</v>
      </c>
      <c r="H573" s="10" t="s">
        <v>74</v>
      </c>
      <c r="I573" s="10" t="str">
        <f>HYPERLINK("http://www.calisport.it/","www.calisport.it")</f>
        <v>www.calisport.it</v>
      </c>
      <c r="J573" s="12">
        <v>745.17899999999997</v>
      </c>
      <c r="K573" s="12">
        <v>745.17899999999997</v>
      </c>
      <c r="L573" s="12">
        <v>963.86500000000001</v>
      </c>
      <c r="M573" s="12">
        <v>-81.477000000000004</v>
      </c>
      <c r="N573" s="12">
        <v>-81.477000000000004</v>
      </c>
      <c r="O573" s="12">
        <v>34.896999999999998</v>
      </c>
      <c r="P573" s="12">
        <v>16</v>
      </c>
      <c r="Q573" s="12">
        <v>16</v>
      </c>
      <c r="R573" s="12">
        <v>16</v>
      </c>
    </row>
    <row r="574" spans="1:18" ht="17" customHeight="1" x14ac:dyDescent="0.2">
      <c r="A574" s="5" t="s">
        <v>2428</v>
      </c>
      <c r="B574" s="6" t="s">
        <v>2429</v>
      </c>
      <c r="C574" s="5" t="s">
        <v>2430</v>
      </c>
      <c r="D574" s="5" t="s">
        <v>2430</v>
      </c>
      <c r="E574" s="5" t="s">
        <v>2431</v>
      </c>
      <c r="F574" s="5" t="s">
        <v>48</v>
      </c>
      <c r="G574" s="5" t="s">
        <v>797</v>
      </c>
      <c r="H574" s="5" t="s">
        <v>299</v>
      </c>
      <c r="I574" s="5" t="str">
        <f>HYPERLINK("http://www.opencouture.it/","www.opencouture.it")</f>
        <v>www.opencouture.it</v>
      </c>
      <c r="J574" s="7">
        <v>1333.732</v>
      </c>
      <c r="K574" s="7">
        <v>1333.732</v>
      </c>
      <c r="L574" s="8">
        <v>963.17700000000002</v>
      </c>
      <c r="M574" s="7">
        <v>1.7669999999999999</v>
      </c>
      <c r="N574" s="7">
        <v>1.7669999999999999</v>
      </c>
      <c r="O574" s="7">
        <v>8.2759999999999998</v>
      </c>
      <c r="P574" s="7">
        <v>4</v>
      </c>
      <c r="Q574" s="7">
        <v>4</v>
      </c>
      <c r="R574" s="7">
        <v>5</v>
      </c>
    </row>
    <row r="575" spans="1:18" ht="17" customHeight="1" x14ac:dyDescent="0.2">
      <c r="A575" s="10" t="s">
        <v>2432</v>
      </c>
      <c r="B575" s="11" t="s">
        <v>2433</v>
      </c>
      <c r="C575" s="10" t="s">
        <v>2434</v>
      </c>
      <c r="D575" s="10" t="s">
        <v>2434</v>
      </c>
      <c r="E575" s="10" t="s">
        <v>2435</v>
      </c>
      <c r="F575" s="10" t="s">
        <v>54</v>
      </c>
      <c r="G575" s="10" t="s">
        <v>89</v>
      </c>
      <c r="H575" s="10" t="s">
        <v>56</v>
      </c>
      <c r="I575" s="10" t="str">
        <f>HYPERLINK("http://www.tacchificioberdini.it/","www.tacchificioberdini.it")</f>
        <v>www.tacchificioberdini.it</v>
      </c>
      <c r="J575" s="12">
        <v>1432.934</v>
      </c>
      <c r="K575" s="12">
        <v>1432.934</v>
      </c>
      <c r="L575" s="12">
        <v>961.82</v>
      </c>
      <c r="M575" s="12">
        <v>175.17</v>
      </c>
      <c r="N575" s="12">
        <v>175.17</v>
      </c>
      <c r="O575" s="12">
        <v>68.915999999999997</v>
      </c>
      <c r="P575" s="12">
        <v>7</v>
      </c>
      <c r="Q575" s="12">
        <v>7</v>
      </c>
      <c r="R575" s="12">
        <v>5</v>
      </c>
    </row>
    <row r="576" spans="1:18" ht="29.5" customHeight="1" x14ac:dyDescent="0.2">
      <c r="A576" s="5" t="s">
        <v>2436</v>
      </c>
      <c r="B576" s="6" t="s">
        <v>2437</v>
      </c>
      <c r="C576" s="5" t="s">
        <v>2438</v>
      </c>
      <c r="D576" s="5" t="s">
        <v>2438</v>
      </c>
      <c r="E576" s="5" t="s">
        <v>2439</v>
      </c>
      <c r="F576" s="5" t="s">
        <v>21</v>
      </c>
      <c r="G576" s="5" t="s">
        <v>55</v>
      </c>
      <c r="H576" s="5" t="s">
        <v>56</v>
      </c>
      <c r="I576" s="5" t="str">
        <f>HYPERLINK("http://www.ortopediapicenaap.it/","www.ortopediapicenaap.it")</f>
        <v>www.ortopediapicenaap.it</v>
      </c>
      <c r="J576" s="7">
        <v>1494.066</v>
      </c>
      <c r="K576" s="7">
        <v>1494.066</v>
      </c>
      <c r="L576" s="8">
        <v>960.58199999999999</v>
      </c>
      <c r="M576" s="7">
        <v>81.543999999999997</v>
      </c>
      <c r="N576" s="7">
        <v>81.543999999999997</v>
      </c>
      <c r="O576" s="7">
        <v>28.227</v>
      </c>
      <c r="P576" s="7">
        <v>8</v>
      </c>
      <c r="Q576" s="7">
        <v>8</v>
      </c>
      <c r="R576" s="7">
        <v>6</v>
      </c>
    </row>
    <row r="577" spans="1:18" ht="17" customHeight="1" x14ac:dyDescent="0.2">
      <c r="A577" s="10" t="s">
        <v>2440</v>
      </c>
      <c r="B577" s="11" t="s">
        <v>2441</v>
      </c>
      <c r="C577" s="10" t="s">
        <v>2442</v>
      </c>
      <c r="D577" s="10" t="s">
        <v>2442</v>
      </c>
      <c r="E577" s="10" t="s">
        <v>2443</v>
      </c>
      <c r="F577" s="10" t="s">
        <v>114</v>
      </c>
      <c r="G577" s="10" t="s">
        <v>158</v>
      </c>
      <c r="H577" s="10" t="s">
        <v>159</v>
      </c>
      <c r="I577" s="10" t="str">
        <f>HYPERLINK("http://www.estele.it/","www.estele.it")</f>
        <v>www.estele.it</v>
      </c>
      <c r="J577" s="12">
        <v>1269.7339999999999</v>
      </c>
      <c r="K577" s="12">
        <v>1269.7339999999999</v>
      </c>
      <c r="L577" s="12">
        <v>959.55</v>
      </c>
      <c r="M577" s="12">
        <v>331.61900000000003</v>
      </c>
      <c r="N577" s="12">
        <v>331.61900000000003</v>
      </c>
      <c r="O577" s="12">
        <v>163.66800000000001</v>
      </c>
      <c r="P577" s="12">
        <v>19</v>
      </c>
      <c r="Q577" s="12">
        <v>19</v>
      </c>
      <c r="R577" s="12">
        <v>17</v>
      </c>
    </row>
    <row r="578" spans="1:18" ht="17" customHeight="1" x14ac:dyDescent="0.2">
      <c r="A578" s="5" t="s">
        <v>2444</v>
      </c>
      <c r="B578" s="6" t="s">
        <v>2445</v>
      </c>
      <c r="C578" s="5" t="s">
        <v>2446</v>
      </c>
      <c r="D578" s="5" t="s">
        <v>2446</v>
      </c>
      <c r="E578" s="5" t="s">
        <v>2447</v>
      </c>
      <c r="F578" s="5" t="s">
        <v>105</v>
      </c>
      <c r="G578" s="5" t="s">
        <v>100</v>
      </c>
      <c r="H578" s="5" t="s">
        <v>62</v>
      </c>
      <c r="I578" s="5" t="str">
        <f>HYPERLINK("http://www.caridei.it/","www.caridei.it")</f>
        <v>www.caridei.it</v>
      </c>
      <c r="J578" s="7">
        <v>953.08299999999997</v>
      </c>
      <c r="K578" s="7">
        <v>953.08299999999997</v>
      </c>
      <c r="L578" s="8">
        <v>958.65599999999995</v>
      </c>
      <c r="M578" s="7">
        <v>48.814999999999998</v>
      </c>
      <c r="N578" s="7">
        <v>48.814999999999998</v>
      </c>
      <c r="O578" s="7">
        <v>70.608000000000004</v>
      </c>
      <c r="P578" s="7">
        <v>11</v>
      </c>
      <c r="Q578" s="7">
        <v>11</v>
      </c>
      <c r="R578" s="7">
        <v>12</v>
      </c>
    </row>
    <row r="579" spans="1:18" ht="17" customHeight="1" x14ac:dyDescent="0.2">
      <c r="A579" s="10" t="s">
        <v>2448</v>
      </c>
      <c r="B579" s="11" t="s">
        <v>2449</v>
      </c>
      <c r="C579" s="10" t="s">
        <v>2450</v>
      </c>
      <c r="D579" s="10" t="s">
        <v>2450</v>
      </c>
      <c r="E579" s="10" t="s">
        <v>2451</v>
      </c>
      <c r="F579" s="10" t="s">
        <v>149</v>
      </c>
      <c r="G579" s="10" t="s">
        <v>42</v>
      </c>
      <c r="H579" s="10" t="s">
        <v>43</v>
      </c>
      <c r="I579" s="10" t="str">
        <f>HYPERLINK("http://www.tonini.com/","www.tonini.com")</f>
        <v>www.tonini.com</v>
      </c>
      <c r="J579" s="12">
        <v>1931.4880000000001</v>
      </c>
      <c r="K579" s="12">
        <v>2085.5300000000002</v>
      </c>
      <c r="L579" s="12">
        <v>958.077</v>
      </c>
      <c r="M579" s="12">
        <v>13.866</v>
      </c>
      <c r="N579" s="12">
        <v>13.003</v>
      </c>
      <c r="O579" s="12">
        <v>2.6190000000000002</v>
      </c>
      <c r="P579" s="13" t="s">
        <v>24</v>
      </c>
      <c r="Q579" s="12">
        <v>6</v>
      </c>
      <c r="R579" s="12">
        <v>5</v>
      </c>
    </row>
    <row r="580" spans="1:18" ht="17" customHeight="1" x14ac:dyDescent="0.2">
      <c r="A580" s="5" t="s">
        <v>2452</v>
      </c>
      <c r="B580" s="6" t="s">
        <v>2453</v>
      </c>
      <c r="C580" s="5" t="s">
        <v>2454</v>
      </c>
      <c r="D580" s="5" t="s">
        <v>2454</v>
      </c>
      <c r="E580" s="5" t="s">
        <v>2455</v>
      </c>
      <c r="F580" s="5" t="s">
        <v>72</v>
      </c>
      <c r="G580" s="5" t="s">
        <v>283</v>
      </c>
      <c r="H580" s="5" t="s">
        <v>74</v>
      </c>
      <c r="I580" s="5" t="str">
        <f>HYPERLINK("http://www.calzificionegrisoli.it/","www.calzificionegrisoli.it")</f>
        <v>www.calzificionegrisoli.it</v>
      </c>
      <c r="J580" s="7">
        <v>1239.08</v>
      </c>
      <c r="K580" s="7">
        <v>1239.08</v>
      </c>
      <c r="L580" s="8">
        <v>957.74599999999998</v>
      </c>
      <c r="M580" s="7">
        <v>40.694000000000003</v>
      </c>
      <c r="N580" s="7">
        <v>40.694000000000003</v>
      </c>
      <c r="O580" s="7">
        <v>17.667000000000002</v>
      </c>
      <c r="P580" s="7">
        <v>5</v>
      </c>
      <c r="Q580" s="7">
        <v>5</v>
      </c>
      <c r="R580" s="7">
        <v>6</v>
      </c>
    </row>
    <row r="581" spans="1:18" ht="17" customHeight="1" x14ac:dyDescent="0.2">
      <c r="A581" s="10" t="s">
        <v>2456</v>
      </c>
      <c r="B581" s="11" t="s">
        <v>2457</v>
      </c>
      <c r="C581" s="10" t="s">
        <v>2458</v>
      </c>
      <c r="D581" s="10" t="s">
        <v>2458</v>
      </c>
      <c r="E581" s="10" t="s">
        <v>2459</v>
      </c>
      <c r="F581" s="10" t="s">
        <v>41</v>
      </c>
      <c r="G581" s="10" t="s">
        <v>503</v>
      </c>
      <c r="H581" s="10" t="s">
        <v>62</v>
      </c>
      <c r="I581" s="10" t="str">
        <f>HYPERLINK("http://www.prontopellibrand.it/","www.prontopellibrand.it")</f>
        <v>www.prontopellibrand.it</v>
      </c>
      <c r="J581" s="12">
        <v>170.17500000000001</v>
      </c>
      <c r="K581" s="12">
        <v>170.17500000000001</v>
      </c>
      <c r="L581" s="12">
        <v>957.37800000000004</v>
      </c>
      <c r="M581" s="12">
        <v>-1033.4860000000001</v>
      </c>
      <c r="N581" s="12">
        <v>-1033.4860000000001</v>
      </c>
      <c r="O581" s="12">
        <v>220.035</v>
      </c>
      <c r="P581" s="13" t="s">
        <v>24</v>
      </c>
      <c r="Q581" s="13" t="s">
        <v>24</v>
      </c>
      <c r="R581" s="12">
        <v>8</v>
      </c>
    </row>
    <row r="582" spans="1:18" ht="17" customHeight="1" x14ac:dyDescent="0.2">
      <c r="A582" s="5" t="s">
        <v>2460</v>
      </c>
      <c r="B582" s="6" t="s">
        <v>2461</v>
      </c>
      <c r="C582" s="5" t="s">
        <v>2462</v>
      </c>
      <c r="D582" s="5" t="s">
        <v>2462</v>
      </c>
      <c r="E582" s="5" t="s">
        <v>2463</v>
      </c>
      <c r="F582" s="5" t="s">
        <v>114</v>
      </c>
      <c r="G582" s="5" t="s">
        <v>229</v>
      </c>
      <c r="H582" s="5" t="s">
        <v>31</v>
      </c>
      <c r="I582" s="5" t="str">
        <f>HYPERLINK("http://www.fugato.it/","www.fugato.it")</f>
        <v>www.fugato.it</v>
      </c>
      <c r="J582" s="7">
        <v>1430.9670000000001</v>
      </c>
      <c r="K582" s="7">
        <v>1430.9670000000001</v>
      </c>
      <c r="L582" s="8">
        <v>956.51300000000003</v>
      </c>
      <c r="M582" s="7">
        <v>5.9089999999999998</v>
      </c>
      <c r="N582" s="7">
        <v>5.9089999999999998</v>
      </c>
      <c r="O582" s="7">
        <v>-2.74</v>
      </c>
      <c r="P582" s="7">
        <v>3</v>
      </c>
      <c r="Q582" s="7">
        <v>3</v>
      </c>
      <c r="R582" s="7">
        <v>5</v>
      </c>
    </row>
    <row r="583" spans="1:18" ht="17" customHeight="1" x14ac:dyDescent="0.2">
      <c r="A583" s="10" t="s">
        <v>2464</v>
      </c>
      <c r="B583" s="11" t="s">
        <v>2465</v>
      </c>
      <c r="C583" s="10" t="s">
        <v>2466</v>
      </c>
      <c r="D583" s="10" t="s">
        <v>2466</v>
      </c>
      <c r="E583" s="10" t="s">
        <v>2467</v>
      </c>
      <c r="F583" s="10" t="s">
        <v>29</v>
      </c>
      <c r="G583" s="10" t="s">
        <v>2468</v>
      </c>
      <c r="H583" s="10" t="s">
        <v>121</v>
      </c>
      <c r="I583" s="10" t="str">
        <f>HYPERLINK("http://confitri.it/","confitri.it")</f>
        <v>confitri.it</v>
      </c>
      <c r="J583" s="12">
        <v>1070.7739999999999</v>
      </c>
      <c r="K583" s="12">
        <v>1070.7739999999999</v>
      </c>
      <c r="L583" s="12">
        <v>956.15599999999995</v>
      </c>
      <c r="M583" s="12">
        <v>4.8330000000000002</v>
      </c>
      <c r="N583" s="12">
        <v>4.8330000000000002</v>
      </c>
      <c r="O583" s="12">
        <v>34.238</v>
      </c>
      <c r="P583" s="13" t="s">
        <v>24</v>
      </c>
      <c r="Q583" s="13" t="s">
        <v>24</v>
      </c>
      <c r="R583" s="12">
        <v>16</v>
      </c>
    </row>
    <row r="584" spans="1:18" ht="17" customHeight="1" x14ac:dyDescent="0.2">
      <c r="A584" s="5" t="s">
        <v>2469</v>
      </c>
      <c r="B584" s="6" t="s">
        <v>2470</v>
      </c>
      <c r="C584" s="5" t="s">
        <v>2471</v>
      </c>
      <c r="D584" s="5" t="s">
        <v>2471</v>
      </c>
      <c r="E584" s="5" t="s">
        <v>2472</v>
      </c>
      <c r="F584" s="5" t="s">
        <v>149</v>
      </c>
      <c r="G584" s="5" t="s">
        <v>120</v>
      </c>
      <c r="H584" s="5" t="s">
        <v>121</v>
      </c>
      <c r="I584" s="5" t="str">
        <f>HYPERLINK("http://www.heysport.it/","www.heysport.it")</f>
        <v>www.heysport.it</v>
      </c>
      <c r="J584" s="7">
        <v>933.43700000000001</v>
      </c>
      <c r="K584" s="7">
        <v>933.43700000000001</v>
      </c>
      <c r="L584" s="8">
        <v>955.05600000000004</v>
      </c>
      <c r="M584" s="7">
        <v>-84.05</v>
      </c>
      <c r="N584" s="7">
        <v>-84.05</v>
      </c>
      <c r="O584" s="7">
        <v>-77.69</v>
      </c>
      <c r="P584" s="7">
        <v>4</v>
      </c>
      <c r="Q584" s="7">
        <v>4</v>
      </c>
      <c r="R584" s="7">
        <v>4</v>
      </c>
    </row>
    <row r="585" spans="1:18" ht="17" customHeight="1" x14ac:dyDescent="0.2">
      <c r="A585" s="10" t="s">
        <v>2473</v>
      </c>
      <c r="B585" s="11" t="s">
        <v>2474</v>
      </c>
      <c r="C585" s="10" t="s">
        <v>2475</v>
      </c>
      <c r="D585" s="10" t="s">
        <v>2475</v>
      </c>
      <c r="E585" s="10" t="s">
        <v>2476</v>
      </c>
      <c r="F585" s="10" t="s">
        <v>105</v>
      </c>
      <c r="G585" s="10" t="s">
        <v>79</v>
      </c>
      <c r="H585" s="10" t="s">
        <v>56</v>
      </c>
      <c r="I585" s="10" t="str">
        <f>HYPERLINK("http://manifatturafermana.it/","manifatturafermana.it")</f>
        <v>manifatturafermana.it</v>
      </c>
      <c r="J585" s="12">
        <v>1038.7829999999999</v>
      </c>
      <c r="K585" s="12">
        <v>1038.7829999999999</v>
      </c>
      <c r="L585" s="12">
        <v>952.76700000000005</v>
      </c>
      <c r="M585" s="12">
        <v>51.59</v>
      </c>
      <c r="N585" s="12">
        <v>51.59</v>
      </c>
      <c r="O585" s="12">
        <v>49.872</v>
      </c>
      <c r="P585" s="12">
        <v>14</v>
      </c>
      <c r="Q585" s="12">
        <v>14</v>
      </c>
      <c r="R585" s="12">
        <v>15</v>
      </c>
    </row>
    <row r="586" spans="1:18" ht="29.5" customHeight="1" x14ac:dyDescent="0.2">
      <c r="A586" s="5" t="s">
        <v>2477</v>
      </c>
      <c r="B586" s="6" t="s">
        <v>2478</v>
      </c>
      <c r="C586" s="5" t="s">
        <v>2479</v>
      </c>
      <c r="D586" s="5" t="s">
        <v>2479</v>
      </c>
      <c r="E586" s="5" t="s">
        <v>2480</v>
      </c>
      <c r="F586" s="5" t="s">
        <v>105</v>
      </c>
      <c r="G586" s="5" t="s">
        <v>49</v>
      </c>
      <c r="H586" s="5" t="s">
        <v>23</v>
      </c>
      <c r="I586" s="5" t="str">
        <f>HYPERLINK("http://www.guantigigliofiorentino.it/","www.guantigigliofiorentino.it")</f>
        <v>www.guantigigliofiorentino.it</v>
      </c>
      <c r="J586" s="7">
        <v>936.14499999999998</v>
      </c>
      <c r="K586" s="7">
        <v>936.14499999999998</v>
      </c>
      <c r="L586" s="8">
        <v>949.98599999999999</v>
      </c>
      <c r="M586" s="7">
        <v>47.902000000000001</v>
      </c>
      <c r="N586" s="7">
        <v>47.902000000000001</v>
      </c>
      <c r="O586" s="7">
        <v>54.906999999999996</v>
      </c>
      <c r="P586" s="7">
        <v>7</v>
      </c>
      <c r="Q586" s="7">
        <v>7</v>
      </c>
      <c r="R586" s="7">
        <v>6</v>
      </c>
    </row>
    <row r="587" spans="1:18" ht="17" customHeight="1" x14ac:dyDescent="0.2">
      <c r="A587" s="10" t="s">
        <v>2481</v>
      </c>
      <c r="B587" s="11" t="s">
        <v>2482</v>
      </c>
      <c r="C587" s="10" t="s">
        <v>2483</v>
      </c>
      <c r="D587" s="10" t="s">
        <v>2483</v>
      </c>
      <c r="E587" s="10" t="s">
        <v>2484</v>
      </c>
      <c r="F587" s="10" t="s">
        <v>114</v>
      </c>
      <c r="G587" s="10" t="s">
        <v>797</v>
      </c>
      <c r="H587" s="10" t="s">
        <v>299</v>
      </c>
      <c r="I587" s="10" t="str">
        <f>HYPERLINK("http://www.alexanderbikewear.com/","www.alexanderbikewear.com")</f>
        <v>www.alexanderbikewear.com</v>
      </c>
      <c r="J587" s="12">
        <v>894.15300000000002</v>
      </c>
      <c r="K587" s="12">
        <v>894.15300000000002</v>
      </c>
      <c r="L587" s="12">
        <v>949.26</v>
      </c>
      <c r="M587" s="12">
        <v>-18.7</v>
      </c>
      <c r="N587" s="12">
        <v>-18.7</v>
      </c>
      <c r="O587" s="12">
        <v>-20.524000000000001</v>
      </c>
      <c r="P587" s="13" t="s">
        <v>24</v>
      </c>
      <c r="Q587" s="13" t="s">
        <v>24</v>
      </c>
      <c r="R587" s="12">
        <v>18</v>
      </c>
    </row>
    <row r="588" spans="1:18" ht="43" customHeight="1" x14ac:dyDescent="0.2">
      <c r="A588" s="5" t="s">
        <v>2485</v>
      </c>
      <c r="B588" s="6" t="s">
        <v>2486</v>
      </c>
      <c r="C588" s="5" t="s">
        <v>2487</v>
      </c>
      <c r="D588" s="5" t="s">
        <v>2487</v>
      </c>
      <c r="E588" s="5" t="s">
        <v>2488</v>
      </c>
      <c r="F588" s="5" t="s">
        <v>114</v>
      </c>
      <c r="G588" s="5" t="s">
        <v>115</v>
      </c>
      <c r="H588" s="5" t="s">
        <v>43</v>
      </c>
      <c r="I588" s="5" t="str">
        <f>HYPERLINK("http://otravezcollection.com/","otravezcollection.com")</f>
        <v>otravezcollection.com</v>
      </c>
      <c r="J588" s="7">
        <v>859.52700000000004</v>
      </c>
      <c r="K588" s="7">
        <v>859.52700000000004</v>
      </c>
      <c r="L588" s="8">
        <v>949.14400000000001</v>
      </c>
      <c r="M588" s="7">
        <v>1.147</v>
      </c>
      <c r="N588" s="7">
        <v>1.147</v>
      </c>
      <c r="O588" s="7">
        <v>11.677</v>
      </c>
      <c r="P588" s="7">
        <v>20</v>
      </c>
      <c r="Q588" s="7">
        <v>20</v>
      </c>
      <c r="R588" s="7">
        <v>16</v>
      </c>
    </row>
    <row r="589" spans="1:18" ht="17" customHeight="1" x14ac:dyDescent="0.2">
      <c r="A589" s="10" t="s">
        <v>2489</v>
      </c>
      <c r="B589" s="11" t="s">
        <v>2490</v>
      </c>
      <c r="C589" s="10" t="s">
        <v>2491</v>
      </c>
      <c r="D589" s="10" t="s">
        <v>2491</v>
      </c>
      <c r="E589" s="10" t="s">
        <v>2492</v>
      </c>
      <c r="F589" s="10" t="s">
        <v>149</v>
      </c>
      <c r="G589" s="10" t="s">
        <v>120</v>
      </c>
      <c r="H589" s="10" t="s">
        <v>121</v>
      </c>
      <c r="I589" s="10" t="str">
        <f>HYPERLINK("http://giegisportfashion.com/","giegisportfashion.com")</f>
        <v>giegisportfashion.com</v>
      </c>
      <c r="J589" s="12">
        <v>948.78</v>
      </c>
      <c r="K589" s="13" t="s">
        <v>24</v>
      </c>
      <c r="L589" s="12">
        <v>948.78</v>
      </c>
      <c r="M589" s="12">
        <v>0.66700000000000004</v>
      </c>
      <c r="N589" s="13" t="s">
        <v>24</v>
      </c>
      <c r="O589" s="12">
        <v>0.66700000000000004</v>
      </c>
      <c r="P589" s="12">
        <v>5</v>
      </c>
      <c r="Q589" s="13" t="s">
        <v>24</v>
      </c>
      <c r="R589" s="12">
        <v>5</v>
      </c>
    </row>
    <row r="590" spans="1:18" ht="17" customHeight="1" x14ac:dyDescent="0.2">
      <c r="A590" s="5" t="s">
        <v>2493</v>
      </c>
      <c r="B590" s="6" t="s">
        <v>2494</v>
      </c>
      <c r="C590" s="5" t="s">
        <v>2495</v>
      </c>
      <c r="D590" s="5" t="s">
        <v>2495</v>
      </c>
      <c r="E590" s="5" t="s">
        <v>2496</v>
      </c>
      <c r="F590" s="5" t="s">
        <v>367</v>
      </c>
      <c r="G590" s="5" t="s">
        <v>94</v>
      </c>
      <c r="H590" s="5" t="s">
        <v>62</v>
      </c>
      <c r="I590" s="5" t="str">
        <f>HYPERLINK("http://www.corbaraweb.com/","www.corbaraweb.com")</f>
        <v>www.corbaraweb.com</v>
      </c>
      <c r="J590" s="7">
        <v>994.49400000000003</v>
      </c>
      <c r="K590" s="7">
        <v>994.49400000000003</v>
      </c>
      <c r="L590" s="8">
        <v>947.01800000000003</v>
      </c>
      <c r="M590" s="7">
        <v>44.506</v>
      </c>
      <c r="N590" s="7">
        <v>44.506</v>
      </c>
      <c r="O590" s="7">
        <v>40.1</v>
      </c>
      <c r="P590" s="9" t="s">
        <v>24</v>
      </c>
      <c r="Q590" s="9" t="s">
        <v>24</v>
      </c>
      <c r="R590" s="7">
        <v>15</v>
      </c>
    </row>
    <row r="591" spans="1:18" ht="17" customHeight="1" x14ac:dyDescent="0.2">
      <c r="A591" s="10" t="s">
        <v>2497</v>
      </c>
      <c r="B591" s="11" t="s">
        <v>2498</v>
      </c>
      <c r="C591" s="10" t="s">
        <v>2499</v>
      </c>
      <c r="D591" s="10" t="s">
        <v>2499</v>
      </c>
      <c r="E591" s="10" t="s">
        <v>2500</v>
      </c>
      <c r="F591" s="10" t="s">
        <v>99</v>
      </c>
      <c r="G591" s="10" t="s">
        <v>190</v>
      </c>
      <c r="H591" s="10" t="s">
        <v>74</v>
      </c>
      <c r="I591" s="10" t="str">
        <f>HYPERLINK("http://www.vinciuomo.it/","www.vinciuomo.it")</f>
        <v>www.vinciuomo.it</v>
      </c>
      <c r="J591" s="12">
        <v>949.702</v>
      </c>
      <c r="K591" s="12">
        <v>949.702</v>
      </c>
      <c r="L591" s="12">
        <v>946.37800000000004</v>
      </c>
      <c r="M591" s="12">
        <v>11.606999999999999</v>
      </c>
      <c r="N591" s="12">
        <v>11.606999999999999</v>
      </c>
      <c r="O591" s="12">
        <v>60.396000000000001</v>
      </c>
      <c r="P591" s="12">
        <v>15</v>
      </c>
      <c r="Q591" s="12">
        <v>15</v>
      </c>
      <c r="R591" s="12">
        <v>14</v>
      </c>
    </row>
    <row r="592" spans="1:18" ht="43" customHeight="1" x14ac:dyDescent="0.2">
      <c r="A592" s="5" t="s">
        <v>2501</v>
      </c>
      <c r="B592" s="6" t="s">
        <v>2502</v>
      </c>
      <c r="C592" s="5" t="s">
        <v>2503</v>
      </c>
      <c r="D592" s="5" t="s">
        <v>2503</v>
      </c>
      <c r="E592" s="5" t="s">
        <v>2504</v>
      </c>
      <c r="F592" s="5" t="s">
        <v>462</v>
      </c>
      <c r="G592" s="5" t="s">
        <v>1013</v>
      </c>
      <c r="H592" s="5" t="s">
        <v>43</v>
      </c>
      <c r="I592" s="5" t="str">
        <f>HYPERLINK("http://www.eswearingservice.it/","www.eswearingservice.it")</f>
        <v>www.eswearingservice.it</v>
      </c>
      <c r="J592" s="7">
        <v>788.31899999999996</v>
      </c>
      <c r="K592" s="7">
        <v>788.31899999999996</v>
      </c>
      <c r="L592" s="8">
        <v>943.46799999999996</v>
      </c>
      <c r="M592" s="7">
        <v>-41.374000000000002</v>
      </c>
      <c r="N592" s="7">
        <v>-41.374000000000002</v>
      </c>
      <c r="O592" s="7">
        <v>18.952000000000002</v>
      </c>
      <c r="P592" s="9" t="s">
        <v>24</v>
      </c>
      <c r="Q592" s="9" t="s">
        <v>24</v>
      </c>
      <c r="R592" s="7">
        <v>14</v>
      </c>
    </row>
    <row r="593" spans="1:18" ht="17" customHeight="1" x14ac:dyDescent="0.2">
      <c r="A593" s="10" t="s">
        <v>2505</v>
      </c>
      <c r="B593" s="11" t="s">
        <v>2506</v>
      </c>
      <c r="C593" s="10" t="s">
        <v>2507</v>
      </c>
      <c r="D593" s="10" t="s">
        <v>2507</v>
      </c>
      <c r="E593" s="10" t="s">
        <v>2508</v>
      </c>
      <c r="F593" s="10" t="s">
        <v>114</v>
      </c>
      <c r="G593" s="10" t="s">
        <v>253</v>
      </c>
      <c r="H593" s="10" t="s">
        <v>56</v>
      </c>
      <c r="I593" s="10" t="str">
        <f>HYPERLINK("http://www.confezionielegant.it/","www.confezionielegant.it")</f>
        <v>www.confezionielegant.it</v>
      </c>
      <c r="J593" s="12">
        <v>889.02599999999995</v>
      </c>
      <c r="K593" s="12">
        <v>889.02599999999995</v>
      </c>
      <c r="L593" s="12">
        <v>943.19799999999998</v>
      </c>
      <c r="M593" s="12">
        <v>113.821</v>
      </c>
      <c r="N593" s="12">
        <v>113.821</v>
      </c>
      <c r="O593" s="12">
        <v>94.146000000000001</v>
      </c>
      <c r="P593" s="12">
        <v>12</v>
      </c>
      <c r="Q593" s="12">
        <v>12</v>
      </c>
      <c r="R593" s="12">
        <v>12</v>
      </c>
    </row>
    <row r="594" spans="1:18" ht="17" customHeight="1" x14ac:dyDescent="0.2">
      <c r="A594" s="5" t="s">
        <v>2509</v>
      </c>
      <c r="B594" s="6" t="s">
        <v>2510</v>
      </c>
      <c r="C594" s="5" t="s">
        <v>2511</v>
      </c>
      <c r="D594" s="5" t="s">
        <v>2511</v>
      </c>
      <c r="E594" s="5" t="s">
        <v>2512</v>
      </c>
      <c r="F594" s="5" t="s">
        <v>134</v>
      </c>
      <c r="G594" s="5" t="s">
        <v>190</v>
      </c>
      <c r="H594" s="5" t="s">
        <v>74</v>
      </c>
      <c r="I594" s="5" t="str">
        <f>HYPERLINK("http://www.santerasmocinque.it/","www.santerasmocinque.it")</f>
        <v>www.santerasmocinque.it</v>
      </c>
      <c r="J594" s="7">
        <v>835.60500000000002</v>
      </c>
      <c r="K594" s="7">
        <v>835.60500000000002</v>
      </c>
      <c r="L594" s="8">
        <v>942.07299999999998</v>
      </c>
      <c r="M594" s="7">
        <v>0.53</v>
      </c>
      <c r="N594" s="7">
        <v>0.53</v>
      </c>
      <c r="O594" s="7">
        <v>3.9129999999999998</v>
      </c>
      <c r="P594" s="7">
        <v>3</v>
      </c>
      <c r="Q594" s="7">
        <v>3</v>
      </c>
      <c r="R594" s="7">
        <v>3</v>
      </c>
    </row>
    <row r="595" spans="1:18" ht="17" customHeight="1" x14ac:dyDescent="0.2">
      <c r="A595" s="10" t="s">
        <v>2513</v>
      </c>
      <c r="B595" s="11" t="s">
        <v>2514</v>
      </c>
      <c r="C595" s="10" t="s">
        <v>2515</v>
      </c>
      <c r="D595" s="10" t="s">
        <v>2515</v>
      </c>
      <c r="E595" s="10" t="s">
        <v>2516</v>
      </c>
      <c r="F595" s="10" t="s">
        <v>29</v>
      </c>
      <c r="G595" s="10" t="s">
        <v>100</v>
      </c>
      <c r="H595" s="10" t="s">
        <v>62</v>
      </c>
      <c r="I595" s="10" t="str">
        <f>HYPERLINK("http://www.fantasy2000.it/","www.fantasy2000.it")</f>
        <v>www.fantasy2000.it</v>
      </c>
      <c r="J595" s="12">
        <v>876.98800000000006</v>
      </c>
      <c r="K595" s="12">
        <v>876.98800000000006</v>
      </c>
      <c r="L595" s="12">
        <v>939.29200000000003</v>
      </c>
      <c r="M595" s="12">
        <v>19.844999999999999</v>
      </c>
      <c r="N595" s="12">
        <v>19.844999999999999</v>
      </c>
      <c r="O595" s="12">
        <v>-17.709</v>
      </c>
      <c r="P595" s="13" t="s">
        <v>24</v>
      </c>
      <c r="Q595" s="13" t="s">
        <v>24</v>
      </c>
      <c r="R595" s="12">
        <v>3</v>
      </c>
    </row>
    <row r="596" spans="1:18" ht="17" customHeight="1" x14ac:dyDescent="0.2">
      <c r="A596" s="5" t="s">
        <v>2517</v>
      </c>
      <c r="B596" s="6" t="s">
        <v>2518</v>
      </c>
      <c r="C596" s="5" t="s">
        <v>2519</v>
      </c>
      <c r="D596" s="5" t="s">
        <v>2519</v>
      </c>
      <c r="E596" s="5" t="s">
        <v>2520</v>
      </c>
      <c r="F596" s="5" t="s">
        <v>367</v>
      </c>
      <c r="G596" s="5" t="s">
        <v>253</v>
      </c>
      <c r="H596" s="5" t="s">
        <v>56</v>
      </c>
      <c r="I596" s="5" t="str">
        <f>HYPERLINK("http://paricop.com/","paricop.com")</f>
        <v>paricop.com</v>
      </c>
      <c r="J596" s="7">
        <v>1145.008</v>
      </c>
      <c r="K596" s="7">
        <v>1145.008</v>
      </c>
      <c r="L596" s="8">
        <v>937.85199999999998</v>
      </c>
      <c r="M596" s="7">
        <v>1.1479999999999999</v>
      </c>
      <c r="N596" s="7">
        <v>1.1479999999999999</v>
      </c>
      <c r="O596" s="7">
        <v>2.0059999999999998</v>
      </c>
      <c r="P596" s="7">
        <v>7</v>
      </c>
      <c r="Q596" s="7">
        <v>7</v>
      </c>
      <c r="R596" s="7">
        <v>13</v>
      </c>
    </row>
    <row r="597" spans="1:18" ht="29.5" customHeight="1" x14ac:dyDescent="0.2">
      <c r="A597" s="10" t="s">
        <v>2521</v>
      </c>
      <c r="B597" s="11" t="s">
        <v>2522</v>
      </c>
      <c r="C597" s="10" t="s">
        <v>2523</v>
      </c>
      <c r="D597" s="10" t="s">
        <v>2523</v>
      </c>
      <c r="E597" s="10" t="s">
        <v>2524</v>
      </c>
      <c r="F597" s="10" t="s">
        <v>21</v>
      </c>
      <c r="G597" s="10" t="s">
        <v>61</v>
      </c>
      <c r="H597" s="10" t="s">
        <v>62</v>
      </c>
      <c r="I597" s="10" t="str">
        <f>HYPERLINK("http://www.bricconi.com/","www.bricconi.com")</f>
        <v>www.bricconi.com</v>
      </c>
      <c r="J597" s="12">
        <v>1101.5709999999999</v>
      </c>
      <c r="K597" s="12">
        <v>1101.5709999999999</v>
      </c>
      <c r="L597" s="12">
        <v>937.423</v>
      </c>
      <c r="M597" s="12">
        <v>147.08799999999999</v>
      </c>
      <c r="N597" s="12">
        <v>147.08799999999999</v>
      </c>
      <c r="O597" s="12">
        <v>121.979</v>
      </c>
      <c r="P597" s="13" t="s">
        <v>24</v>
      </c>
      <c r="Q597" s="13" t="s">
        <v>24</v>
      </c>
      <c r="R597" s="12">
        <v>19</v>
      </c>
    </row>
    <row r="598" spans="1:18" ht="29.5" customHeight="1" x14ac:dyDescent="0.2">
      <c r="A598" s="5" t="s">
        <v>2525</v>
      </c>
      <c r="B598" s="6" t="s">
        <v>2526</v>
      </c>
      <c r="C598" s="5" t="s">
        <v>2527</v>
      </c>
      <c r="D598" s="5" t="s">
        <v>2527</v>
      </c>
      <c r="E598" s="5" t="s">
        <v>2528</v>
      </c>
      <c r="F598" s="5" t="s">
        <v>114</v>
      </c>
      <c r="G598" s="5" t="s">
        <v>42</v>
      </c>
      <c r="H598" s="5" t="s">
        <v>43</v>
      </c>
      <c r="I598" s="5" t="str">
        <f>HYPERLINK("http://www.italianfashionpatterns.it/","www.italianfashionpatterns.it")</f>
        <v>www.italianfashionpatterns.it</v>
      </c>
      <c r="J598" s="7">
        <v>1049.1769999999999</v>
      </c>
      <c r="K598" s="7">
        <v>1049.1769999999999</v>
      </c>
      <c r="L598" s="8">
        <v>936.899</v>
      </c>
      <c r="M598" s="7">
        <v>105.48399999999999</v>
      </c>
      <c r="N598" s="7">
        <v>105.48399999999999</v>
      </c>
      <c r="O598" s="7">
        <v>129.39099999999999</v>
      </c>
      <c r="P598" s="7">
        <v>4</v>
      </c>
      <c r="Q598" s="7">
        <v>4</v>
      </c>
      <c r="R598" s="7">
        <v>5</v>
      </c>
    </row>
    <row r="599" spans="1:18" ht="17" customHeight="1" x14ac:dyDescent="0.2">
      <c r="A599" s="10" t="s">
        <v>2529</v>
      </c>
      <c r="B599" s="11" t="s">
        <v>2530</v>
      </c>
      <c r="C599" s="10" t="s">
        <v>2531</v>
      </c>
      <c r="D599" s="10" t="s">
        <v>2531</v>
      </c>
      <c r="E599" s="10" t="s">
        <v>2532</v>
      </c>
      <c r="F599" s="10" t="s">
        <v>54</v>
      </c>
      <c r="G599" s="10" t="s">
        <v>79</v>
      </c>
      <c r="H599" s="10" t="s">
        <v>56</v>
      </c>
      <c r="I599" s="10" t="str">
        <f>HYPERLINK("http://www.tartabinienasini.it/","www.tartabinienasini.it")</f>
        <v>www.tartabinienasini.it</v>
      </c>
      <c r="J599" s="12">
        <v>921.46</v>
      </c>
      <c r="K599" s="12">
        <v>921.46</v>
      </c>
      <c r="L599" s="12">
        <v>936.65099999999995</v>
      </c>
      <c r="M599" s="12">
        <v>73.629000000000005</v>
      </c>
      <c r="N599" s="12">
        <v>73.629000000000005</v>
      </c>
      <c r="O599" s="12">
        <v>38.889000000000003</v>
      </c>
      <c r="P599" s="12">
        <v>3</v>
      </c>
      <c r="Q599" s="12">
        <v>3</v>
      </c>
      <c r="R599" s="12">
        <v>4</v>
      </c>
    </row>
    <row r="600" spans="1:18" ht="17" customHeight="1" x14ac:dyDescent="0.2">
      <c r="A600" s="5" t="s">
        <v>2533</v>
      </c>
      <c r="B600" s="6" t="s">
        <v>2534</v>
      </c>
      <c r="C600" s="5" t="s">
        <v>2535</v>
      </c>
      <c r="D600" s="5" t="s">
        <v>2535</v>
      </c>
      <c r="E600" s="5" t="s">
        <v>2536</v>
      </c>
      <c r="F600" s="5" t="s">
        <v>114</v>
      </c>
      <c r="G600" s="5" t="s">
        <v>1013</v>
      </c>
      <c r="H600" s="5" t="s">
        <v>43</v>
      </c>
      <c r="I600" s="5" t="str">
        <f>HYPERLINK("http://www.ms-servizi.it/","www.ms-servizi.it")</f>
        <v>www.ms-servizi.it</v>
      </c>
      <c r="J600" s="7">
        <v>1098.873</v>
      </c>
      <c r="K600" s="7">
        <v>1098.873</v>
      </c>
      <c r="L600" s="8">
        <v>936.56500000000005</v>
      </c>
      <c r="M600" s="7">
        <v>4.34</v>
      </c>
      <c r="N600" s="7">
        <v>4.34</v>
      </c>
      <c r="O600" s="7">
        <v>1.391</v>
      </c>
      <c r="P600" s="7">
        <v>13</v>
      </c>
      <c r="Q600" s="7">
        <v>13</v>
      </c>
      <c r="R600" s="7">
        <v>10</v>
      </c>
    </row>
    <row r="601" spans="1:18" ht="43" customHeight="1" x14ac:dyDescent="0.2">
      <c r="A601" s="10" t="s">
        <v>2537</v>
      </c>
      <c r="B601" s="11" t="s">
        <v>2538</v>
      </c>
      <c r="C601" s="10" t="s">
        <v>2539</v>
      </c>
      <c r="D601" s="10" t="s">
        <v>2539</v>
      </c>
      <c r="E601" s="10" t="s">
        <v>2540</v>
      </c>
      <c r="F601" s="10" t="s">
        <v>134</v>
      </c>
      <c r="G601" s="10" t="s">
        <v>229</v>
      </c>
      <c r="H601" s="10" t="s">
        <v>31</v>
      </c>
      <c r="I601" s="10" t="str">
        <f>HYPERLINK("http://www.nicolasantarelli1915.com/","www.nicolasantarelli1915.com")</f>
        <v>www.nicolasantarelli1915.com</v>
      </c>
      <c r="J601" s="12">
        <v>900.69299999999998</v>
      </c>
      <c r="K601" s="12">
        <v>900.69299999999998</v>
      </c>
      <c r="L601" s="12">
        <v>936.27099999999996</v>
      </c>
      <c r="M601" s="12">
        <v>2.8279999999999998</v>
      </c>
      <c r="N601" s="12">
        <v>2.8279999999999998</v>
      </c>
      <c r="O601" s="12">
        <v>30.911999999999999</v>
      </c>
      <c r="P601" s="12">
        <v>15</v>
      </c>
      <c r="Q601" s="12">
        <v>15</v>
      </c>
      <c r="R601" s="12">
        <v>13</v>
      </c>
    </row>
    <row r="602" spans="1:18" ht="17" customHeight="1" x14ac:dyDescent="0.2">
      <c r="A602" s="5" t="s">
        <v>2541</v>
      </c>
      <c r="B602" s="6" t="s">
        <v>2542</v>
      </c>
      <c r="C602" s="5" t="s">
        <v>2543</v>
      </c>
      <c r="D602" s="5" t="s">
        <v>2543</v>
      </c>
      <c r="E602" s="5" t="s">
        <v>2544</v>
      </c>
      <c r="F602" s="5" t="s">
        <v>114</v>
      </c>
      <c r="G602" s="5" t="s">
        <v>224</v>
      </c>
      <c r="H602" s="5" t="s">
        <v>23</v>
      </c>
      <c r="I602" s="5" t="str">
        <f>HYPERLINK("http://www.parentini.com/","www.parentini.com")</f>
        <v>www.parentini.com</v>
      </c>
      <c r="J602" s="7">
        <v>889.49599999999998</v>
      </c>
      <c r="K602" s="7">
        <v>889.49599999999998</v>
      </c>
      <c r="L602" s="8">
        <v>935.91899999999998</v>
      </c>
      <c r="M602" s="7">
        <v>1.4330000000000001</v>
      </c>
      <c r="N602" s="7">
        <v>1.4330000000000001</v>
      </c>
      <c r="O602" s="7">
        <v>1.3240000000000001</v>
      </c>
      <c r="P602" s="7">
        <v>8</v>
      </c>
      <c r="Q602" s="7">
        <v>8</v>
      </c>
      <c r="R602" s="7">
        <v>9</v>
      </c>
    </row>
    <row r="603" spans="1:18" ht="17" customHeight="1" x14ac:dyDescent="0.2">
      <c r="A603" s="10" t="s">
        <v>2545</v>
      </c>
      <c r="B603" s="11" t="s">
        <v>2546</v>
      </c>
      <c r="C603" s="10" t="s">
        <v>2547</v>
      </c>
      <c r="D603" s="10" t="s">
        <v>2547</v>
      </c>
      <c r="E603" s="10" t="s">
        <v>2548</v>
      </c>
      <c r="F603" s="10" t="s">
        <v>181</v>
      </c>
      <c r="G603" s="10" t="s">
        <v>293</v>
      </c>
      <c r="H603" s="10" t="s">
        <v>74</v>
      </c>
      <c r="I603" s="10" t="str">
        <f>HYPERLINK("http://www.dori.it/","www.dori.it")</f>
        <v>www.dori.it</v>
      </c>
      <c r="J603" s="12">
        <v>863.66399999999999</v>
      </c>
      <c r="K603" s="12">
        <v>863.66399999999999</v>
      </c>
      <c r="L603" s="12">
        <v>934.36</v>
      </c>
      <c r="M603" s="12">
        <v>16.093</v>
      </c>
      <c r="N603" s="12">
        <v>16.093</v>
      </c>
      <c r="O603" s="12">
        <v>18.998000000000001</v>
      </c>
      <c r="P603" s="12">
        <v>4</v>
      </c>
      <c r="Q603" s="12">
        <v>4</v>
      </c>
      <c r="R603" s="12">
        <v>5</v>
      </c>
    </row>
    <row r="604" spans="1:18" ht="17" customHeight="1" x14ac:dyDescent="0.2">
      <c r="A604" s="5" t="s">
        <v>2549</v>
      </c>
      <c r="B604" s="6" t="s">
        <v>2550</v>
      </c>
      <c r="C604" s="5" t="s">
        <v>2551</v>
      </c>
      <c r="D604" s="5" t="s">
        <v>2551</v>
      </c>
      <c r="E604" s="5" t="s">
        <v>2552</v>
      </c>
      <c r="F604" s="5" t="s">
        <v>105</v>
      </c>
      <c r="G604" s="5" t="s">
        <v>718</v>
      </c>
      <c r="H604" s="5" t="s">
        <v>31</v>
      </c>
      <c r="I604" s="5" t="str">
        <f>HYPERLINK("http://spafil.it/","spafil.it")</f>
        <v>spafil.it</v>
      </c>
      <c r="J604" s="7">
        <v>896.08699999999999</v>
      </c>
      <c r="K604" s="7">
        <v>896.08699999999999</v>
      </c>
      <c r="L604" s="8">
        <v>933.98099999999999</v>
      </c>
      <c r="M604" s="7">
        <v>35.095999999999997</v>
      </c>
      <c r="N604" s="7">
        <v>35.095999999999997</v>
      </c>
      <c r="O604" s="7">
        <v>103.5</v>
      </c>
      <c r="P604" s="9" t="s">
        <v>24</v>
      </c>
      <c r="Q604" s="9" t="s">
        <v>24</v>
      </c>
      <c r="R604" s="7">
        <v>4</v>
      </c>
    </row>
    <row r="605" spans="1:18" ht="17" customHeight="1" x14ac:dyDescent="0.2">
      <c r="A605" s="10" t="s">
        <v>2553</v>
      </c>
      <c r="B605" s="11" t="s">
        <v>2554</v>
      </c>
      <c r="C605" s="10" t="s">
        <v>2555</v>
      </c>
      <c r="D605" s="10" t="s">
        <v>2555</v>
      </c>
      <c r="E605" s="10" t="s">
        <v>2556</v>
      </c>
      <c r="F605" s="10" t="s">
        <v>41</v>
      </c>
      <c r="G605" s="10" t="s">
        <v>224</v>
      </c>
      <c r="H605" s="10" t="s">
        <v>23</v>
      </c>
      <c r="I605" s="10" t="str">
        <f>HYPERLINK("http://www.lapec.it/","www.lapec.it")</f>
        <v>www.lapec.it</v>
      </c>
      <c r="J605" s="12">
        <v>992.53300000000002</v>
      </c>
      <c r="K605" s="12">
        <v>992.53300000000002</v>
      </c>
      <c r="L605" s="12">
        <v>933.21500000000003</v>
      </c>
      <c r="M605" s="12">
        <v>92.343999999999994</v>
      </c>
      <c r="N605" s="12">
        <v>92.343999999999994</v>
      </c>
      <c r="O605" s="12">
        <v>28.952000000000002</v>
      </c>
      <c r="P605" s="12">
        <v>10</v>
      </c>
      <c r="Q605" s="12">
        <v>10</v>
      </c>
      <c r="R605" s="12">
        <v>12</v>
      </c>
    </row>
    <row r="606" spans="1:18" ht="43" customHeight="1" x14ac:dyDescent="0.2">
      <c r="A606" s="5" t="s">
        <v>2557</v>
      </c>
      <c r="B606" s="6" t="s">
        <v>2558</v>
      </c>
      <c r="C606" s="5" t="s">
        <v>2559</v>
      </c>
      <c r="D606" s="5" t="s">
        <v>2559</v>
      </c>
      <c r="E606" s="5" t="s">
        <v>2560</v>
      </c>
      <c r="F606" s="5" t="s">
        <v>181</v>
      </c>
      <c r="G606" s="5" t="s">
        <v>437</v>
      </c>
      <c r="H606" s="5" t="s">
        <v>407</v>
      </c>
      <c r="I606" s="5" t="str">
        <f>HYPERLINK("http://www.shop.ladia.it/","www.shop.ladia.it")</f>
        <v>www.shop.ladia.it</v>
      </c>
      <c r="J606" s="7">
        <v>1410.6110000000001</v>
      </c>
      <c r="K606" s="7">
        <v>1410.6110000000001</v>
      </c>
      <c r="L606" s="8">
        <v>930.476</v>
      </c>
      <c r="M606" s="7">
        <v>8.0839999999999996</v>
      </c>
      <c r="N606" s="7">
        <v>8.0839999999999996</v>
      </c>
      <c r="O606" s="7">
        <v>76.801000000000002</v>
      </c>
      <c r="P606" s="7">
        <v>31</v>
      </c>
      <c r="Q606" s="7">
        <v>31</v>
      </c>
      <c r="R606" s="7">
        <v>22</v>
      </c>
    </row>
    <row r="607" spans="1:18" ht="17" customHeight="1" x14ac:dyDescent="0.2">
      <c r="A607" s="10" t="s">
        <v>2561</v>
      </c>
      <c r="B607" s="11" t="s">
        <v>2562</v>
      </c>
      <c r="C607" s="10" t="s">
        <v>2563</v>
      </c>
      <c r="D607" s="10" t="s">
        <v>2563</v>
      </c>
      <c r="E607" s="10" t="s">
        <v>2564</v>
      </c>
      <c r="F607" s="10" t="s">
        <v>181</v>
      </c>
      <c r="G607" s="10" t="s">
        <v>42</v>
      </c>
      <c r="H607" s="10" t="s">
        <v>43</v>
      </c>
      <c r="I607" s="10" t="str">
        <f>HYPERLINK("http://www.wlnscashmere.it/","www.wlnscashmere.it")</f>
        <v>www.wlnscashmere.it</v>
      </c>
      <c r="J607" s="12">
        <v>805.88900000000001</v>
      </c>
      <c r="K607" s="12">
        <v>805.88900000000001</v>
      </c>
      <c r="L607" s="12">
        <v>930.46900000000005</v>
      </c>
      <c r="M607" s="12">
        <v>-61.664999999999999</v>
      </c>
      <c r="N607" s="12">
        <v>-61.664999999999999</v>
      </c>
      <c r="O607" s="12">
        <v>6.41</v>
      </c>
      <c r="P607" s="12">
        <v>10</v>
      </c>
      <c r="Q607" s="12">
        <v>10</v>
      </c>
      <c r="R607" s="12">
        <v>8</v>
      </c>
    </row>
    <row r="608" spans="1:18" ht="17" customHeight="1" x14ac:dyDescent="0.2">
      <c r="A608" s="5" t="s">
        <v>2565</v>
      </c>
      <c r="B608" s="6" t="s">
        <v>2566</v>
      </c>
      <c r="C608" s="5" t="s">
        <v>2567</v>
      </c>
      <c r="D608" s="5" t="s">
        <v>2567</v>
      </c>
      <c r="E608" s="5" t="s">
        <v>2568</v>
      </c>
      <c r="F608" s="5" t="s">
        <v>367</v>
      </c>
      <c r="G608" s="5" t="s">
        <v>552</v>
      </c>
      <c r="H608" s="5" t="s">
        <v>74</v>
      </c>
      <c r="I608" s="5" t="str">
        <f>HYPERLINK("http://www.handlinecompany.com/","www.handlinecompany.com")</f>
        <v>www.handlinecompany.com</v>
      </c>
      <c r="J608" s="7">
        <v>1138.3510000000001</v>
      </c>
      <c r="K608" s="7">
        <v>1138.3510000000001</v>
      </c>
      <c r="L608" s="8">
        <v>927.81200000000001</v>
      </c>
      <c r="M608" s="7">
        <v>253.56100000000001</v>
      </c>
      <c r="N608" s="7">
        <v>253.56100000000001</v>
      </c>
      <c r="O608" s="7">
        <v>95.977999999999994</v>
      </c>
      <c r="P608" s="7">
        <v>2</v>
      </c>
      <c r="Q608" s="7">
        <v>2</v>
      </c>
      <c r="R608" s="7">
        <v>2</v>
      </c>
    </row>
    <row r="609" spans="1:18" ht="17" customHeight="1" x14ac:dyDescent="0.2">
      <c r="A609" s="10" t="s">
        <v>2569</v>
      </c>
      <c r="B609" s="11" t="s">
        <v>2570</v>
      </c>
      <c r="C609" s="10" t="s">
        <v>2571</v>
      </c>
      <c r="D609" s="10" t="s">
        <v>2571</v>
      </c>
      <c r="E609" s="10" t="s">
        <v>2572</v>
      </c>
      <c r="F609" s="10" t="s">
        <v>114</v>
      </c>
      <c r="G609" s="10" t="s">
        <v>158</v>
      </c>
      <c r="H609" s="10" t="s">
        <v>159</v>
      </c>
      <c r="I609" s="10" t="str">
        <f>HYPERLINK("http://www.copeservizi.com/","www.copeservizi.com")</f>
        <v>www.copeservizi.com</v>
      </c>
      <c r="J609" s="12">
        <v>1068.373</v>
      </c>
      <c r="K609" s="12">
        <v>1068.373</v>
      </c>
      <c r="L609" s="12">
        <v>927.11300000000006</v>
      </c>
      <c r="M609" s="12">
        <v>59.164999999999999</v>
      </c>
      <c r="N609" s="12">
        <v>59.164999999999999</v>
      </c>
      <c r="O609" s="12">
        <v>31.244</v>
      </c>
      <c r="P609" s="12">
        <v>13</v>
      </c>
      <c r="Q609" s="12">
        <v>13</v>
      </c>
      <c r="R609" s="12">
        <v>11</v>
      </c>
    </row>
    <row r="610" spans="1:18" ht="17" customHeight="1" x14ac:dyDescent="0.2">
      <c r="A610" s="5" t="s">
        <v>2573</v>
      </c>
      <c r="B610" s="6" t="s">
        <v>2574</v>
      </c>
      <c r="C610" s="5" t="s">
        <v>2575</v>
      </c>
      <c r="D610" s="5" t="s">
        <v>2575</v>
      </c>
      <c r="E610" s="5" t="s">
        <v>2576</v>
      </c>
      <c r="F610" s="5" t="s">
        <v>105</v>
      </c>
      <c r="G610" s="5" t="s">
        <v>2577</v>
      </c>
      <c r="H610" s="5" t="s">
        <v>121</v>
      </c>
      <c r="I610" s="5" t="str">
        <f>HYPERLINK("http://www.lanificiodellorso.it/","www.lanificiodellorso.it")</f>
        <v>www.lanificiodellorso.it</v>
      </c>
      <c r="J610" s="7">
        <v>884.00400000000002</v>
      </c>
      <c r="K610" s="7">
        <v>884.00400000000002</v>
      </c>
      <c r="L610" s="8">
        <v>927.05100000000004</v>
      </c>
      <c r="M610" s="7">
        <v>-8.1630000000000003</v>
      </c>
      <c r="N610" s="7">
        <v>-8.1630000000000003</v>
      </c>
      <c r="O610" s="7">
        <v>-86.968000000000004</v>
      </c>
      <c r="P610" s="7">
        <v>8</v>
      </c>
      <c r="Q610" s="7">
        <v>8</v>
      </c>
      <c r="R610" s="7">
        <v>10</v>
      </c>
    </row>
    <row r="611" spans="1:18" ht="17" customHeight="1" x14ac:dyDescent="0.2">
      <c r="A611" s="10" t="s">
        <v>2578</v>
      </c>
      <c r="B611" s="11" t="s">
        <v>2579</v>
      </c>
      <c r="C611" s="10" t="s">
        <v>2580</v>
      </c>
      <c r="D611" s="10" t="s">
        <v>2580</v>
      </c>
      <c r="E611" s="10" t="s">
        <v>2581</v>
      </c>
      <c r="F611" s="10" t="s">
        <v>21</v>
      </c>
      <c r="G611" s="10" t="s">
        <v>140</v>
      </c>
      <c r="H611" s="10" t="s">
        <v>43</v>
      </c>
      <c r="I611" s="10" t="str">
        <f>HYPERLINK("http://www.kostyle.it/","www.kostyle.it")</f>
        <v>www.kostyle.it</v>
      </c>
      <c r="J611" s="12">
        <v>563.34500000000003</v>
      </c>
      <c r="K611" s="12">
        <v>563.34500000000003</v>
      </c>
      <c r="L611" s="12">
        <v>925.49099999999999</v>
      </c>
      <c r="M611" s="12">
        <v>-79.834000000000003</v>
      </c>
      <c r="N611" s="12">
        <v>-79.834000000000003</v>
      </c>
      <c r="O611" s="12">
        <v>38.341000000000001</v>
      </c>
      <c r="P611" s="13" t="s">
        <v>24</v>
      </c>
      <c r="Q611" s="13" t="s">
        <v>24</v>
      </c>
      <c r="R611" s="12">
        <v>12</v>
      </c>
    </row>
    <row r="612" spans="1:18" ht="17" customHeight="1" x14ac:dyDescent="0.2">
      <c r="A612" s="5" t="s">
        <v>2582</v>
      </c>
      <c r="B612" s="6" t="s">
        <v>2583</v>
      </c>
      <c r="C612" s="5" t="s">
        <v>2584</v>
      </c>
      <c r="D612" s="5" t="s">
        <v>2584</v>
      </c>
      <c r="E612" s="5" t="s">
        <v>2585</v>
      </c>
      <c r="F612" s="5" t="s">
        <v>41</v>
      </c>
      <c r="G612" s="5" t="s">
        <v>100</v>
      </c>
      <c r="H612" s="5" t="s">
        <v>62</v>
      </c>
      <c r="I612" s="5" t="str">
        <f>HYPERLINK("http://www.palmpel.it/","www.palmpel.it")</f>
        <v>www.palmpel.it</v>
      </c>
      <c r="J612" s="7">
        <v>858.23199999999997</v>
      </c>
      <c r="K612" s="7">
        <v>858.23199999999997</v>
      </c>
      <c r="L612" s="8">
        <v>924.81600000000003</v>
      </c>
      <c r="M612" s="7">
        <v>17.16</v>
      </c>
      <c r="N612" s="7">
        <v>17.16</v>
      </c>
      <c r="O612" s="7">
        <v>41.258000000000003</v>
      </c>
      <c r="P612" s="9" t="s">
        <v>24</v>
      </c>
      <c r="Q612" s="9" t="s">
        <v>24</v>
      </c>
      <c r="R612" s="7">
        <v>8</v>
      </c>
    </row>
    <row r="613" spans="1:18" ht="17" customHeight="1" x14ac:dyDescent="0.2">
      <c r="A613" s="10" t="s">
        <v>2586</v>
      </c>
      <c r="B613" s="11" t="s">
        <v>2587</v>
      </c>
      <c r="C613" s="10" t="s">
        <v>2588</v>
      </c>
      <c r="D613" s="10" t="s">
        <v>2588</v>
      </c>
      <c r="E613" s="10" t="s">
        <v>2589</v>
      </c>
      <c r="F613" s="10" t="s">
        <v>29</v>
      </c>
      <c r="G613" s="10" t="s">
        <v>2590</v>
      </c>
      <c r="H613" s="10" t="s">
        <v>477</v>
      </c>
      <c r="I613" s="10" t="str">
        <f>HYPERLINK("http://www.errediabitidalavoro.com/","www.errediabitidalavoro.com")</f>
        <v>www.errediabitidalavoro.com</v>
      </c>
      <c r="J613" s="12">
        <v>940.51599999999996</v>
      </c>
      <c r="K613" s="12">
        <v>940.51599999999996</v>
      </c>
      <c r="L613" s="12">
        <v>924.73</v>
      </c>
      <c r="M613" s="12">
        <v>8.9469999999999992</v>
      </c>
      <c r="N613" s="12">
        <v>8.9469999999999992</v>
      </c>
      <c r="O613" s="12">
        <v>-0.73199999999999998</v>
      </c>
      <c r="P613" s="12">
        <v>6</v>
      </c>
      <c r="Q613" s="12">
        <v>6</v>
      </c>
      <c r="R613" s="12">
        <v>8</v>
      </c>
    </row>
    <row r="614" spans="1:18" ht="17" customHeight="1" x14ac:dyDescent="0.2">
      <c r="A614" s="5" t="s">
        <v>2591</v>
      </c>
      <c r="B614" s="6" t="s">
        <v>2592</v>
      </c>
      <c r="C614" s="5" t="s">
        <v>2593</v>
      </c>
      <c r="D614" s="5" t="s">
        <v>2593</v>
      </c>
      <c r="E614" s="5" t="s">
        <v>2594</v>
      </c>
      <c r="F614" s="5" t="s">
        <v>181</v>
      </c>
      <c r="G614" s="5" t="s">
        <v>158</v>
      </c>
      <c r="H614" s="5" t="s">
        <v>159</v>
      </c>
      <c r="I614" s="5" t="str">
        <f>HYPERLINK("http://www.gegconfezioni.it/","www.gegconfezioni.it")</f>
        <v>www.gegconfezioni.it</v>
      </c>
      <c r="J614" s="7">
        <v>767.79899999999998</v>
      </c>
      <c r="K614" s="7">
        <v>767.79899999999998</v>
      </c>
      <c r="L614" s="8">
        <v>923.62699999999995</v>
      </c>
      <c r="M614" s="7">
        <v>19.350999999999999</v>
      </c>
      <c r="N614" s="7">
        <v>19.350999999999999</v>
      </c>
      <c r="O614" s="7">
        <v>20.626000000000001</v>
      </c>
      <c r="P614" s="9" t="s">
        <v>24</v>
      </c>
      <c r="Q614" s="9" t="s">
        <v>24</v>
      </c>
      <c r="R614" s="7">
        <v>15</v>
      </c>
    </row>
    <row r="615" spans="1:18" ht="17" customHeight="1" x14ac:dyDescent="0.2">
      <c r="A615" s="10" t="s">
        <v>2595</v>
      </c>
      <c r="B615" s="11" t="s">
        <v>2596</v>
      </c>
      <c r="C615" s="10" t="s">
        <v>2597</v>
      </c>
      <c r="D615" s="10" t="s">
        <v>2597</v>
      </c>
      <c r="E615" s="10" t="s">
        <v>2598</v>
      </c>
      <c r="F615" s="10" t="s">
        <v>462</v>
      </c>
      <c r="G615" s="10" t="s">
        <v>211</v>
      </c>
      <c r="H615" s="10" t="s">
        <v>74</v>
      </c>
      <c r="I615" s="10" t="str">
        <f>HYPERLINK("http://www.backlabel.com/","www.backlabel.com")</f>
        <v>www.backlabel.com</v>
      </c>
      <c r="J615" s="12">
        <v>1156.2850000000001</v>
      </c>
      <c r="K615" s="12">
        <v>1156.2850000000001</v>
      </c>
      <c r="L615" s="12">
        <v>923.35799999999995</v>
      </c>
      <c r="M615" s="12">
        <v>15.499000000000001</v>
      </c>
      <c r="N615" s="12">
        <v>15.499000000000001</v>
      </c>
      <c r="O615" s="12">
        <v>29.715</v>
      </c>
      <c r="P615" s="12">
        <v>18</v>
      </c>
      <c r="Q615" s="12">
        <v>18</v>
      </c>
      <c r="R615" s="12">
        <v>14</v>
      </c>
    </row>
    <row r="616" spans="1:18" ht="17" customHeight="1" x14ac:dyDescent="0.2">
      <c r="A616" s="5" t="s">
        <v>2599</v>
      </c>
      <c r="B616" s="6" t="s">
        <v>2600</v>
      </c>
      <c r="C616" s="5" t="s">
        <v>2601</v>
      </c>
      <c r="D616" s="5" t="s">
        <v>2602</v>
      </c>
      <c r="E616" s="5" t="s">
        <v>2603</v>
      </c>
      <c r="F616" s="5" t="s">
        <v>462</v>
      </c>
      <c r="G616" s="5" t="s">
        <v>190</v>
      </c>
      <c r="H616" s="5" t="s">
        <v>74</v>
      </c>
      <c r="I616" s="5" t="str">
        <f>HYPERLINK("http://www.agatex.it/","www.agatex.it")</f>
        <v>www.agatex.it</v>
      </c>
      <c r="J616" s="7">
        <v>1234.3989999999999</v>
      </c>
      <c r="K616" s="7">
        <v>1234.3989999999999</v>
      </c>
      <c r="L616" s="8">
        <v>920.44500000000005</v>
      </c>
      <c r="M616" s="7">
        <v>276.26799999999997</v>
      </c>
      <c r="N616" s="7">
        <v>276.26799999999997</v>
      </c>
      <c r="O616" s="7">
        <v>50.741</v>
      </c>
      <c r="P616" s="7">
        <v>6</v>
      </c>
      <c r="Q616" s="7">
        <v>6</v>
      </c>
      <c r="R616" s="7">
        <v>6</v>
      </c>
    </row>
    <row r="617" spans="1:18" ht="17" customHeight="1" x14ac:dyDescent="0.2">
      <c r="A617" s="10" t="s">
        <v>2604</v>
      </c>
      <c r="B617" s="11" t="s">
        <v>2605</v>
      </c>
      <c r="C617" s="10" t="s">
        <v>2606</v>
      </c>
      <c r="D617" s="10" t="s">
        <v>2606</v>
      </c>
      <c r="E617" s="10" t="s">
        <v>2607</v>
      </c>
      <c r="F617" s="10" t="s">
        <v>99</v>
      </c>
      <c r="G617" s="10" t="s">
        <v>676</v>
      </c>
      <c r="H617" s="10" t="s">
        <v>74</v>
      </c>
      <c r="I617" s="10" t="str">
        <f>HYPERLINK("http://www.riecosrl.com/","www.riecosrl.com")</f>
        <v>www.riecosrl.com</v>
      </c>
      <c r="J617" s="12">
        <v>1189.5229999999999</v>
      </c>
      <c r="K617" s="12">
        <v>1189.5229999999999</v>
      </c>
      <c r="L617" s="12">
        <v>920.43200000000002</v>
      </c>
      <c r="M617" s="12">
        <v>17.109000000000002</v>
      </c>
      <c r="N617" s="12">
        <v>17.109000000000002</v>
      </c>
      <c r="O617" s="12">
        <v>8.2050000000000001</v>
      </c>
      <c r="P617" s="12">
        <v>4</v>
      </c>
      <c r="Q617" s="12">
        <v>4</v>
      </c>
      <c r="R617" s="12">
        <v>3</v>
      </c>
    </row>
    <row r="618" spans="1:18" ht="17" customHeight="1" x14ac:dyDescent="0.2">
      <c r="A618" s="5" t="s">
        <v>2608</v>
      </c>
      <c r="B618" s="6" t="s">
        <v>2609</v>
      </c>
      <c r="C618" s="5" t="s">
        <v>2610</v>
      </c>
      <c r="D618" s="5" t="s">
        <v>2610</v>
      </c>
      <c r="E618" s="5" t="s">
        <v>2611</v>
      </c>
      <c r="F618" s="5" t="s">
        <v>21</v>
      </c>
      <c r="G618" s="5" t="s">
        <v>89</v>
      </c>
      <c r="H618" s="5" t="s">
        <v>56</v>
      </c>
      <c r="I618" s="5" t="str">
        <f>HYPERLINK("http://calzaturificiorodi.it/","calzaturificiorodi.it")</f>
        <v>calzaturificiorodi.it</v>
      </c>
      <c r="J618" s="7">
        <v>1037.6130000000001</v>
      </c>
      <c r="K618" s="7">
        <v>1037.6130000000001</v>
      </c>
      <c r="L618" s="8">
        <v>919.56500000000005</v>
      </c>
      <c r="M618" s="7">
        <v>-2.6930000000000001</v>
      </c>
      <c r="N618" s="7">
        <v>-2.6930000000000001</v>
      </c>
      <c r="O618" s="7">
        <v>2.4729999999999999</v>
      </c>
      <c r="P618" s="7">
        <v>9</v>
      </c>
      <c r="Q618" s="7">
        <v>9</v>
      </c>
      <c r="R618" s="7">
        <v>11</v>
      </c>
    </row>
    <row r="619" spans="1:18" ht="17" customHeight="1" x14ac:dyDescent="0.2">
      <c r="A619" s="10" t="s">
        <v>2612</v>
      </c>
      <c r="B619" s="11" t="s">
        <v>2613</v>
      </c>
      <c r="C619" s="10" t="s">
        <v>2614</v>
      </c>
      <c r="D619" s="10" t="s">
        <v>2614</v>
      </c>
      <c r="E619" s="10" t="s">
        <v>2615</v>
      </c>
      <c r="F619" s="10" t="s">
        <v>114</v>
      </c>
      <c r="G619" s="10" t="s">
        <v>67</v>
      </c>
      <c r="H619" s="10" t="s">
        <v>43</v>
      </c>
      <c r="I619" s="10" t="str">
        <f>HYPERLINK("http://jubodesign.com/","jubodesign.com")</f>
        <v>jubodesign.com</v>
      </c>
      <c r="J619" s="12">
        <v>858.38699999999994</v>
      </c>
      <c r="K619" s="12">
        <v>858.38699999999994</v>
      </c>
      <c r="L619" s="12">
        <v>919.31600000000003</v>
      </c>
      <c r="M619" s="12">
        <v>17.663</v>
      </c>
      <c r="N619" s="12">
        <v>17.663</v>
      </c>
      <c r="O619" s="12">
        <v>15.319000000000001</v>
      </c>
      <c r="P619" s="12">
        <v>4</v>
      </c>
      <c r="Q619" s="12">
        <v>4</v>
      </c>
      <c r="R619" s="12">
        <v>7</v>
      </c>
    </row>
    <row r="620" spans="1:18" ht="17" customHeight="1" x14ac:dyDescent="0.2">
      <c r="A620" s="5" t="s">
        <v>2616</v>
      </c>
      <c r="B620" s="6" t="s">
        <v>2617</v>
      </c>
      <c r="C620" s="5" t="s">
        <v>2618</v>
      </c>
      <c r="D620" s="5" t="s">
        <v>2618</v>
      </c>
      <c r="E620" s="5" t="s">
        <v>2619</v>
      </c>
      <c r="F620" s="5" t="s">
        <v>29</v>
      </c>
      <c r="G620" s="5" t="s">
        <v>100</v>
      </c>
      <c r="H620" s="5" t="s">
        <v>62</v>
      </c>
      <c r="I620" s="5" t="str">
        <f>HYPERLINK("http://www.coconudina.it/","www.coconudina.it")</f>
        <v>www.coconudina.it</v>
      </c>
      <c r="J620" s="7">
        <v>775.82100000000003</v>
      </c>
      <c r="K620" s="7">
        <v>775.82100000000003</v>
      </c>
      <c r="L620" s="8">
        <v>917.32100000000003</v>
      </c>
      <c r="M620" s="7">
        <v>33.972999999999999</v>
      </c>
      <c r="N620" s="7">
        <v>33.972999999999999</v>
      </c>
      <c r="O620" s="7">
        <v>56.627000000000002</v>
      </c>
      <c r="P620" s="9" t="s">
        <v>24</v>
      </c>
      <c r="Q620" s="9" t="s">
        <v>24</v>
      </c>
      <c r="R620" s="7">
        <v>8</v>
      </c>
    </row>
    <row r="621" spans="1:18" ht="29.5" customHeight="1" x14ac:dyDescent="0.2">
      <c r="A621" s="10" t="s">
        <v>2620</v>
      </c>
      <c r="B621" s="11" t="s">
        <v>2621</v>
      </c>
      <c r="C621" s="10" t="s">
        <v>2622</v>
      </c>
      <c r="D621" s="10" t="s">
        <v>2622</v>
      </c>
      <c r="E621" s="10" t="s">
        <v>2623</v>
      </c>
      <c r="F621" s="10" t="s">
        <v>21</v>
      </c>
      <c r="G621" s="10" t="s">
        <v>61</v>
      </c>
      <c r="H621" s="10" t="s">
        <v>62</v>
      </c>
      <c r="I621" s="10" t="str">
        <f>HYPERLINK("http://melany-vy-srl-04016400618.quantofattura.com/","melany-vy-srl-04016400618.quantofattura.com")</f>
        <v>melany-vy-srl-04016400618.quantofattura.com</v>
      </c>
      <c r="J621" s="12">
        <v>766.65300000000002</v>
      </c>
      <c r="K621" s="12">
        <v>766.65300000000002</v>
      </c>
      <c r="L621" s="12">
        <v>917.24900000000002</v>
      </c>
      <c r="M621" s="12">
        <v>36.808</v>
      </c>
      <c r="N621" s="12">
        <v>36.808</v>
      </c>
      <c r="O621" s="12">
        <v>8.3970000000000002</v>
      </c>
      <c r="P621" s="13" t="s">
        <v>24</v>
      </c>
      <c r="Q621" s="13" t="s">
        <v>24</v>
      </c>
      <c r="R621" s="12">
        <v>16</v>
      </c>
    </row>
    <row r="622" spans="1:18" ht="17" customHeight="1" x14ac:dyDescent="0.2">
      <c r="A622" s="5" t="s">
        <v>2624</v>
      </c>
      <c r="B622" s="6" t="s">
        <v>2625</v>
      </c>
      <c r="C622" s="5" t="s">
        <v>2626</v>
      </c>
      <c r="D622" s="5" t="s">
        <v>2626</v>
      </c>
      <c r="E622" s="5" t="s">
        <v>2627</v>
      </c>
      <c r="F622" s="5" t="s">
        <v>41</v>
      </c>
      <c r="G622" s="5" t="s">
        <v>224</v>
      </c>
      <c r="H622" s="5" t="s">
        <v>23</v>
      </c>
      <c r="I622" s="5" t="str">
        <f>HYPERLINK("http://www.kleathers.it/","www.kleathers.it")</f>
        <v>www.kleathers.it</v>
      </c>
      <c r="J622" s="7">
        <v>690.202</v>
      </c>
      <c r="K622" s="7">
        <v>690.202</v>
      </c>
      <c r="L622" s="8">
        <v>917.10199999999998</v>
      </c>
      <c r="M622" s="7">
        <v>-24.097000000000001</v>
      </c>
      <c r="N622" s="7">
        <v>-24.097000000000001</v>
      </c>
      <c r="O622" s="7">
        <v>13.429</v>
      </c>
      <c r="P622" s="7">
        <v>5</v>
      </c>
      <c r="Q622" s="7">
        <v>5</v>
      </c>
      <c r="R622" s="7">
        <v>5</v>
      </c>
    </row>
    <row r="623" spans="1:18" ht="17" customHeight="1" x14ac:dyDescent="0.2">
      <c r="A623" s="10" t="s">
        <v>2628</v>
      </c>
      <c r="B623" s="11" t="s">
        <v>2629</v>
      </c>
      <c r="C623" s="10" t="s">
        <v>2630</v>
      </c>
      <c r="D623" s="10" t="s">
        <v>2630</v>
      </c>
      <c r="E623" s="10" t="s">
        <v>2631</v>
      </c>
      <c r="F623" s="10" t="s">
        <v>181</v>
      </c>
      <c r="G623" s="10" t="s">
        <v>298</v>
      </c>
      <c r="H623" s="10" t="s">
        <v>299</v>
      </c>
      <c r="I623" s="10" t="str">
        <f>HYPERLINK("http://www.ilmalteselab.com/","www.ilmalteselab.com")</f>
        <v>www.ilmalteselab.com</v>
      </c>
      <c r="J623" s="12">
        <v>807.44</v>
      </c>
      <c r="K623" s="12">
        <v>807.44</v>
      </c>
      <c r="L623" s="12">
        <v>915.97</v>
      </c>
      <c r="M623" s="12">
        <v>7.4820000000000002</v>
      </c>
      <c r="N623" s="12">
        <v>7.4820000000000002</v>
      </c>
      <c r="O623" s="12">
        <v>1.7290000000000001</v>
      </c>
      <c r="P623" s="12">
        <v>4</v>
      </c>
      <c r="Q623" s="12">
        <v>4</v>
      </c>
      <c r="R623" s="12">
        <v>7</v>
      </c>
    </row>
    <row r="624" spans="1:18" ht="17" customHeight="1" x14ac:dyDescent="0.2">
      <c r="A624" s="5" t="s">
        <v>2632</v>
      </c>
      <c r="B624" s="6" t="s">
        <v>2633</v>
      </c>
      <c r="C624" s="5" t="s">
        <v>2634</v>
      </c>
      <c r="D624" s="5" t="s">
        <v>2634</v>
      </c>
      <c r="E624" s="5" t="s">
        <v>2635</v>
      </c>
      <c r="F624" s="5" t="s">
        <v>462</v>
      </c>
      <c r="G624" s="5" t="s">
        <v>140</v>
      </c>
      <c r="H624" s="5" t="s">
        <v>43</v>
      </c>
      <c r="I624" s="5" t="str">
        <f>HYPERLINK("http://www.arcadiashirt.com/","www.arcadiashirt.com")</f>
        <v>www.arcadiashirt.com</v>
      </c>
      <c r="J624" s="7">
        <v>846.40700000000004</v>
      </c>
      <c r="K624" s="7">
        <v>846.40700000000004</v>
      </c>
      <c r="L624" s="8">
        <v>915.82799999999997</v>
      </c>
      <c r="M624" s="7">
        <v>3.68</v>
      </c>
      <c r="N624" s="7">
        <v>3.68</v>
      </c>
      <c r="O624" s="7">
        <v>16.783999999999999</v>
      </c>
      <c r="P624" s="7">
        <v>15</v>
      </c>
      <c r="Q624" s="7">
        <v>15</v>
      </c>
      <c r="R624" s="7">
        <v>14</v>
      </c>
    </row>
    <row r="625" spans="1:18" ht="17" customHeight="1" x14ac:dyDescent="0.2">
      <c r="A625" s="10" t="s">
        <v>2636</v>
      </c>
      <c r="B625" s="11" t="s">
        <v>2637</v>
      </c>
      <c r="C625" s="10" t="s">
        <v>2638</v>
      </c>
      <c r="D625" s="10" t="s">
        <v>2638</v>
      </c>
      <c r="E625" s="10" t="s">
        <v>2639</v>
      </c>
      <c r="F625" s="10" t="s">
        <v>21</v>
      </c>
      <c r="G625" s="10" t="s">
        <v>253</v>
      </c>
      <c r="H625" s="10" t="s">
        <v>56</v>
      </c>
      <c r="I625" s="10" t="str">
        <f>HYPERLINK("http://www.farfalla.it/","www.farfalla.it")</f>
        <v>www.farfalla.it</v>
      </c>
      <c r="J625" s="12">
        <v>912.88199999999995</v>
      </c>
      <c r="K625" s="12">
        <v>912.88199999999995</v>
      </c>
      <c r="L625" s="12">
        <v>915.21900000000005</v>
      </c>
      <c r="M625" s="12">
        <v>47.593000000000004</v>
      </c>
      <c r="N625" s="12">
        <v>47.593000000000004</v>
      </c>
      <c r="O625" s="12">
        <v>-12.103</v>
      </c>
      <c r="P625" s="12">
        <v>10</v>
      </c>
      <c r="Q625" s="12">
        <v>10</v>
      </c>
      <c r="R625" s="12">
        <v>11</v>
      </c>
    </row>
    <row r="626" spans="1:18" ht="17" customHeight="1" x14ac:dyDescent="0.2">
      <c r="A626" s="5" t="s">
        <v>2640</v>
      </c>
      <c r="B626" s="6" t="s">
        <v>2641</v>
      </c>
      <c r="C626" s="5" t="s">
        <v>2642</v>
      </c>
      <c r="D626" s="5" t="s">
        <v>2642</v>
      </c>
      <c r="E626" s="5" t="s">
        <v>2643</v>
      </c>
      <c r="F626" s="5" t="s">
        <v>367</v>
      </c>
      <c r="G626" s="5" t="s">
        <v>190</v>
      </c>
      <c r="H626" s="5" t="s">
        <v>74</v>
      </c>
      <c r="I626" s="5" t="str">
        <f>HYPERLINK("http://www.abbigliamentolavoromilano.com/","www.abbigliamentolavoromilano.com")</f>
        <v>www.abbigliamentolavoromilano.com</v>
      </c>
      <c r="J626" s="7">
        <v>888.08399999999995</v>
      </c>
      <c r="K626" s="7">
        <v>888.08399999999995</v>
      </c>
      <c r="L626" s="8">
        <v>914.99599999999998</v>
      </c>
      <c r="M626" s="7">
        <v>81.197999999999993</v>
      </c>
      <c r="N626" s="7">
        <v>81.197999999999993</v>
      </c>
      <c r="O626" s="7">
        <v>79.929000000000002</v>
      </c>
      <c r="P626" s="7">
        <v>6</v>
      </c>
      <c r="Q626" s="7">
        <v>6</v>
      </c>
      <c r="R626" s="7">
        <v>5</v>
      </c>
    </row>
    <row r="627" spans="1:18" ht="17" customHeight="1" x14ac:dyDescent="0.2">
      <c r="A627" s="10" t="s">
        <v>2644</v>
      </c>
      <c r="B627" s="11" t="s">
        <v>2645</v>
      </c>
      <c r="C627" s="10" t="s">
        <v>2646</v>
      </c>
      <c r="D627" s="10" t="s">
        <v>2646</v>
      </c>
      <c r="E627" s="10" t="s">
        <v>2647</v>
      </c>
      <c r="F627" s="10" t="s">
        <v>21</v>
      </c>
      <c r="G627" s="10" t="s">
        <v>22</v>
      </c>
      <c r="H627" s="10" t="s">
        <v>23</v>
      </c>
      <c r="I627" s="10" t="str">
        <f>HYPERLINK("http://www.errepisrl.it/","www.errepisrl.it")</f>
        <v>www.errepisrl.it</v>
      </c>
      <c r="J627" s="12">
        <v>421.07</v>
      </c>
      <c r="K627" s="12">
        <v>421.07</v>
      </c>
      <c r="L627" s="12">
        <v>914.93100000000004</v>
      </c>
      <c r="M627" s="12">
        <v>-2.6850000000000001</v>
      </c>
      <c r="N627" s="12">
        <v>-2.6850000000000001</v>
      </c>
      <c r="O627" s="12">
        <v>6.0359999999999996</v>
      </c>
      <c r="P627" s="13" t="s">
        <v>24</v>
      </c>
      <c r="Q627" s="13" t="s">
        <v>24</v>
      </c>
      <c r="R627" s="12">
        <v>5</v>
      </c>
    </row>
    <row r="628" spans="1:18" ht="29.5" customHeight="1" x14ac:dyDescent="0.2">
      <c r="A628" s="5" t="s">
        <v>2648</v>
      </c>
      <c r="B628" s="6" t="s">
        <v>2649</v>
      </c>
      <c r="C628" s="5" t="s">
        <v>2650</v>
      </c>
      <c r="D628" s="5" t="s">
        <v>2650</v>
      </c>
      <c r="E628" s="5" t="s">
        <v>2651</v>
      </c>
      <c r="F628" s="5" t="s">
        <v>48</v>
      </c>
      <c r="G628" s="5" t="s">
        <v>100</v>
      </c>
      <c r="H628" s="5" t="s">
        <v>62</v>
      </c>
      <c r="I628" s="5" t="str">
        <f>HYPERLINK("http://www.davidenada.it/","www.davidenada.it")</f>
        <v>www.davidenada.it</v>
      </c>
      <c r="J628" s="7">
        <v>730.89499999999998</v>
      </c>
      <c r="K628" s="7">
        <v>730.89499999999998</v>
      </c>
      <c r="L628" s="8">
        <v>913.54100000000005</v>
      </c>
      <c r="M628" s="7">
        <v>2.2890000000000001</v>
      </c>
      <c r="N628" s="7">
        <v>2.2890000000000001</v>
      </c>
      <c r="O628" s="7">
        <v>18.050999999999998</v>
      </c>
      <c r="P628" s="7">
        <v>20</v>
      </c>
      <c r="Q628" s="7">
        <v>20</v>
      </c>
      <c r="R628" s="7">
        <v>25</v>
      </c>
    </row>
    <row r="629" spans="1:18" ht="17" customHeight="1" x14ac:dyDescent="0.2">
      <c r="A629" s="10" t="s">
        <v>2652</v>
      </c>
      <c r="B629" s="11" t="s">
        <v>2653</v>
      </c>
      <c r="C629" s="10" t="s">
        <v>2654</v>
      </c>
      <c r="D629" s="10" t="s">
        <v>2654</v>
      </c>
      <c r="E629" s="10" t="s">
        <v>2655</v>
      </c>
      <c r="F629" s="10" t="s">
        <v>54</v>
      </c>
      <c r="G629" s="10" t="s">
        <v>67</v>
      </c>
      <c r="H629" s="10" t="s">
        <v>43</v>
      </c>
      <c r="I629" s="10" t="str">
        <f>HYPERLINK("http://www.mattshoes.it/","www.mattshoes.it")</f>
        <v>www.mattshoes.it</v>
      </c>
      <c r="J629" s="12">
        <v>1120.336</v>
      </c>
      <c r="K629" s="12">
        <v>1120.336</v>
      </c>
      <c r="L629" s="12">
        <v>912.90700000000004</v>
      </c>
      <c r="M629" s="12">
        <v>46.7</v>
      </c>
      <c r="N629" s="12">
        <v>46.7</v>
      </c>
      <c r="O629" s="12">
        <v>2.5619999999999998</v>
      </c>
      <c r="P629" s="12">
        <v>24</v>
      </c>
      <c r="Q629" s="12">
        <v>24</v>
      </c>
      <c r="R629" s="12">
        <v>27</v>
      </c>
    </row>
    <row r="630" spans="1:18" ht="17" customHeight="1" x14ac:dyDescent="0.2">
      <c r="A630" s="5" t="s">
        <v>2656</v>
      </c>
      <c r="B630" s="6" t="s">
        <v>2657</v>
      </c>
      <c r="C630" s="5" t="s">
        <v>2658</v>
      </c>
      <c r="D630" s="5" t="s">
        <v>2658</v>
      </c>
      <c r="E630" s="5" t="s">
        <v>2659</v>
      </c>
      <c r="F630" s="5" t="s">
        <v>21</v>
      </c>
      <c r="G630" s="5" t="s">
        <v>79</v>
      </c>
      <c r="H630" s="5" t="s">
        <v>56</v>
      </c>
      <c r="I630" s="5" t="str">
        <f>HYPERLINK("http://www.timarshoes.it/","www.timarshoes.it")</f>
        <v>www.timarshoes.it</v>
      </c>
      <c r="J630" s="7">
        <v>720.91899999999998</v>
      </c>
      <c r="K630" s="7">
        <v>720.91899999999998</v>
      </c>
      <c r="L630" s="8">
        <v>912.65499999999997</v>
      </c>
      <c r="M630" s="7">
        <v>-99.703000000000003</v>
      </c>
      <c r="N630" s="7">
        <v>-99.703000000000003</v>
      </c>
      <c r="O630" s="7">
        <v>-51.508000000000003</v>
      </c>
      <c r="P630" s="7">
        <v>8</v>
      </c>
      <c r="Q630" s="7">
        <v>8</v>
      </c>
      <c r="R630" s="7">
        <v>8</v>
      </c>
    </row>
    <row r="631" spans="1:18" ht="17" customHeight="1" x14ac:dyDescent="0.2">
      <c r="A631" s="10" t="s">
        <v>2660</v>
      </c>
      <c r="B631" s="11" t="s">
        <v>2661</v>
      </c>
      <c r="C631" s="10" t="s">
        <v>2662</v>
      </c>
      <c r="D631" s="10" t="s">
        <v>2662</v>
      </c>
      <c r="E631" s="10" t="s">
        <v>2663</v>
      </c>
      <c r="F631" s="10" t="s">
        <v>105</v>
      </c>
      <c r="G631" s="10" t="s">
        <v>100</v>
      </c>
      <c r="H631" s="10" t="s">
        <v>62</v>
      </c>
      <c r="I631" s="10" t="str">
        <f>HYPERLINK("http://www.ritamode.store/","www.ritamode.store")</f>
        <v>www.ritamode.store</v>
      </c>
      <c r="J631" s="12">
        <v>938.56</v>
      </c>
      <c r="K631" s="12">
        <v>938.56</v>
      </c>
      <c r="L631" s="12">
        <v>912.423</v>
      </c>
      <c r="M631" s="12">
        <v>18.63</v>
      </c>
      <c r="N631" s="12">
        <v>18.63</v>
      </c>
      <c r="O631" s="12">
        <v>58.831000000000003</v>
      </c>
      <c r="P631" s="13" t="s">
        <v>24</v>
      </c>
      <c r="Q631" s="13" t="s">
        <v>24</v>
      </c>
      <c r="R631" s="12">
        <v>14</v>
      </c>
    </row>
    <row r="632" spans="1:18" ht="17" customHeight="1" x14ac:dyDescent="0.2">
      <c r="A632" s="5" t="s">
        <v>2664</v>
      </c>
      <c r="B632" s="6" t="s">
        <v>2665</v>
      </c>
      <c r="C632" s="5" t="s">
        <v>2666</v>
      </c>
      <c r="D632" s="5" t="s">
        <v>2666</v>
      </c>
      <c r="E632" s="5" t="s">
        <v>2667</v>
      </c>
      <c r="F632" s="5" t="s">
        <v>105</v>
      </c>
      <c r="G632" s="5" t="s">
        <v>190</v>
      </c>
      <c r="H632" s="5" t="s">
        <v>74</v>
      </c>
      <c r="I632" s="5" t="str">
        <f>HYPERLINK("http://shop.iltrenino.it/","shop.iltrenino.it")</f>
        <v>shop.iltrenino.it</v>
      </c>
      <c r="J632" s="7">
        <v>926.822</v>
      </c>
      <c r="K632" s="7">
        <v>926.822</v>
      </c>
      <c r="L632" s="8">
        <v>911.60299999999995</v>
      </c>
      <c r="M632" s="7">
        <v>15.593999999999999</v>
      </c>
      <c r="N632" s="7">
        <v>15.593999999999999</v>
      </c>
      <c r="O632" s="7">
        <v>10.489000000000001</v>
      </c>
      <c r="P632" s="7">
        <v>8</v>
      </c>
      <c r="Q632" s="7">
        <v>8</v>
      </c>
      <c r="R632" s="7">
        <v>8</v>
      </c>
    </row>
    <row r="633" spans="1:18" ht="17" customHeight="1" x14ac:dyDescent="0.2">
      <c r="A633" s="10" t="s">
        <v>2668</v>
      </c>
      <c r="B633" s="11" t="s">
        <v>2669</v>
      </c>
      <c r="C633" s="10" t="s">
        <v>2670</v>
      </c>
      <c r="D633" s="10" t="s">
        <v>2670</v>
      </c>
      <c r="E633" s="10" t="s">
        <v>2671</v>
      </c>
      <c r="F633" s="10" t="s">
        <v>134</v>
      </c>
      <c r="G633" s="10" t="s">
        <v>30</v>
      </c>
      <c r="H633" s="10" t="s">
        <v>31</v>
      </c>
      <c r="I633" s="10" t="str">
        <f>HYPERLINK("http://www.joeyejohn.it/","www.joeyejohn.it")</f>
        <v>www.joeyejohn.it</v>
      </c>
      <c r="J633" s="12">
        <v>978.65599999999995</v>
      </c>
      <c r="K633" s="12">
        <v>978.65599999999995</v>
      </c>
      <c r="L633" s="12">
        <v>910.94500000000005</v>
      </c>
      <c r="M633" s="12">
        <v>63.432000000000002</v>
      </c>
      <c r="N633" s="12">
        <v>63.432000000000002</v>
      </c>
      <c r="O633" s="12">
        <v>28.498999999999999</v>
      </c>
      <c r="P633" s="13" t="s">
        <v>24</v>
      </c>
      <c r="Q633" s="13" t="s">
        <v>24</v>
      </c>
      <c r="R633" s="12">
        <v>21</v>
      </c>
    </row>
    <row r="634" spans="1:18" ht="17" customHeight="1" x14ac:dyDescent="0.2">
      <c r="A634" s="5" t="s">
        <v>2672</v>
      </c>
      <c r="B634" s="6" t="s">
        <v>2673</v>
      </c>
      <c r="C634" s="5" t="s">
        <v>2674</v>
      </c>
      <c r="D634" s="5" t="s">
        <v>2674</v>
      </c>
      <c r="E634" s="5" t="s">
        <v>2675</v>
      </c>
      <c r="F634" s="5" t="s">
        <v>105</v>
      </c>
      <c r="G634" s="5" t="s">
        <v>234</v>
      </c>
      <c r="H634" s="5" t="s">
        <v>23</v>
      </c>
      <c r="I634" s="5" t="str">
        <f>HYPERLINK("http://www.allynil.com/","www.allynil.com")</f>
        <v>www.allynil.com</v>
      </c>
      <c r="J634" s="7">
        <v>808.14499999999998</v>
      </c>
      <c r="K634" s="7">
        <v>808.14499999999998</v>
      </c>
      <c r="L634" s="8">
        <v>909.93799999999999</v>
      </c>
      <c r="M634" s="7">
        <v>14.595000000000001</v>
      </c>
      <c r="N634" s="7">
        <v>14.595000000000001</v>
      </c>
      <c r="O634" s="7">
        <v>1.4490000000000001</v>
      </c>
      <c r="P634" s="7">
        <v>4</v>
      </c>
      <c r="Q634" s="7">
        <v>4</v>
      </c>
      <c r="R634" s="7">
        <v>5</v>
      </c>
    </row>
    <row r="635" spans="1:18" ht="17" customHeight="1" x14ac:dyDescent="0.2">
      <c r="A635" s="10" t="s">
        <v>2676</v>
      </c>
      <c r="B635" s="11" t="s">
        <v>2677</v>
      </c>
      <c r="C635" s="10" t="s">
        <v>2678</v>
      </c>
      <c r="D635" s="10" t="s">
        <v>2678</v>
      </c>
      <c r="E635" s="10" t="s">
        <v>2679</v>
      </c>
      <c r="F635" s="10" t="s">
        <v>149</v>
      </c>
      <c r="G635" s="10" t="s">
        <v>797</v>
      </c>
      <c r="H635" s="10" t="s">
        <v>299</v>
      </c>
      <c r="I635" s="10" t="str">
        <f>HYPERLINK("http://rada.it/","rada.it")</f>
        <v>rada.it</v>
      </c>
      <c r="J635" s="12">
        <v>896.22299999999996</v>
      </c>
      <c r="K635" s="12">
        <v>896.22299999999996</v>
      </c>
      <c r="L635" s="12">
        <v>909.01499999999999</v>
      </c>
      <c r="M635" s="12">
        <v>-15.917</v>
      </c>
      <c r="N635" s="12">
        <v>-15.917</v>
      </c>
      <c r="O635" s="12">
        <v>-165.125</v>
      </c>
      <c r="P635" s="13" t="s">
        <v>24</v>
      </c>
      <c r="Q635" s="13" t="s">
        <v>24</v>
      </c>
      <c r="R635" s="12">
        <v>15</v>
      </c>
    </row>
    <row r="636" spans="1:18" ht="17" customHeight="1" x14ac:dyDescent="0.2">
      <c r="A636" s="5" t="s">
        <v>2680</v>
      </c>
      <c r="B636" s="6" t="s">
        <v>2681</v>
      </c>
      <c r="C636" s="5" t="s">
        <v>2682</v>
      </c>
      <c r="D636" s="5" t="s">
        <v>2682</v>
      </c>
      <c r="E636" s="5" t="s">
        <v>2683</v>
      </c>
      <c r="F636" s="5" t="s">
        <v>21</v>
      </c>
      <c r="G636" s="5" t="s">
        <v>79</v>
      </c>
      <c r="H636" s="5" t="s">
        <v>56</v>
      </c>
      <c r="I636" s="5" t="str">
        <f>HYPERLINK("http://www.greatbear.it/","www.greatbear.it")</f>
        <v>www.greatbear.it</v>
      </c>
      <c r="J636" s="7">
        <v>887.90899999999999</v>
      </c>
      <c r="K636" s="7">
        <v>887.90899999999999</v>
      </c>
      <c r="L636" s="8">
        <v>907.60199999999998</v>
      </c>
      <c r="M636" s="7">
        <v>7.0780000000000003</v>
      </c>
      <c r="N636" s="7">
        <v>7.0780000000000003</v>
      </c>
      <c r="O636" s="7">
        <v>6.8079999999999998</v>
      </c>
      <c r="P636" s="7">
        <v>17</v>
      </c>
      <c r="Q636" s="7">
        <v>17</v>
      </c>
      <c r="R636" s="7">
        <v>17</v>
      </c>
    </row>
    <row r="637" spans="1:18" ht="29.5" customHeight="1" x14ac:dyDescent="0.2">
      <c r="A637" s="10" t="s">
        <v>2684</v>
      </c>
      <c r="B637" s="11" t="s">
        <v>2685</v>
      </c>
      <c r="C637" s="10" t="s">
        <v>2686</v>
      </c>
      <c r="D637" s="10" t="s">
        <v>2687</v>
      </c>
      <c r="E637" s="10" t="s">
        <v>2688</v>
      </c>
      <c r="F637" s="10" t="s">
        <v>105</v>
      </c>
      <c r="G637" s="10" t="s">
        <v>120</v>
      </c>
      <c r="H637" s="10" t="s">
        <v>121</v>
      </c>
      <c r="I637" s="10" t="str">
        <f>HYPERLINK("http://pezzetti.it/","pezzetti.it")</f>
        <v>pezzetti.it</v>
      </c>
      <c r="J637" s="12">
        <v>894.06700000000001</v>
      </c>
      <c r="K637" s="12">
        <v>894.06700000000001</v>
      </c>
      <c r="L637" s="12">
        <v>906.37400000000002</v>
      </c>
      <c r="M637" s="12">
        <v>31.126000000000001</v>
      </c>
      <c r="N637" s="12">
        <v>31.126000000000001</v>
      </c>
      <c r="O637" s="12">
        <v>36.36</v>
      </c>
      <c r="P637" s="12">
        <v>11</v>
      </c>
      <c r="Q637" s="12">
        <v>11</v>
      </c>
      <c r="R637" s="12">
        <v>10</v>
      </c>
    </row>
    <row r="638" spans="1:18" ht="17" customHeight="1" x14ac:dyDescent="0.2">
      <c r="A638" s="5" t="s">
        <v>2689</v>
      </c>
      <c r="B638" s="6" t="s">
        <v>2690</v>
      </c>
      <c r="C638" s="5" t="s">
        <v>2691</v>
      </c>
      <c r="D638" s="5" t="s">
        <v>2691</v>
      </c>
      <c r="E638" s="5" t="s">
        <v>2692</v>
      </c>
      <c r="F638" s="5" t="s">
        <v>21</v>
      </c>
      <c r="G638" s="5" t="s">
        <v>67</v>
      </c>
      <c r="H638" s="5" t="s">
        <v>43</v>
      </c>
      <c r="I638" s="5" t="str">
        <f>HYPERLINK("http://peterflowers.it/","peterflowers.it")</f>
        <v>peterflowers.it</v>
      </c>
      <c r="J638" s="7">
        <v>680.21699999999998</v>
      </c>
      <c r="K638" s="7">
        <v>680.21699999999998</v>
      </c>
      <c r="L638" s="8">
        <v>906.41300000000001</v>
      </c>
      <c r="M638" s="7">
        <v>41.12</v>
      </c>
      <c r="N638" s="7">
        <v>41.12</v>
      </c>
      <c r="O638" s="7">
        <v>60.015000000000001</v>
      </c>
      <c r="P638" s="7">
        <v>9</v>
      </c>
      <c r="Q638" s="7">
        <v>9</v>
      </c>
      <c r="R638" s="7">
        <v>7</v>
      </c>
    </row>
    <row r="639" spans="1:18" ht="17" customHeight="1" x14ac:dyDescent="0.2">
      <c r="A639" s="10" t="s">
        <v>2693</v>
      </c>
      <c r="B639" s="11" t="s">
        <v>2694</v>
      </c>
      <c r="C639" s="10" t="s">
        <v>2695</v>
      </c>
      <c r="D639" s="10" t="s">
        <v>2695</v>
      </c>
      <c r="E639" s="10" t="s">
        <v>2696</v>
      </c>
      <c r="F639" s="10" t="s">
        <v>114</v>
      </c>
      <c r="G639" s="10" t="s">
        <v>190</v>
      </c>
      <c r="H639" s="10" t="s">
        <v>74</v>
      </c>
      <c r="I639" s="10" t="str">
        <f>HYPERLINK("http://www.nemen.it/","www.nemen.it")</f>
        <v>www.nemen.it</v>
      </c>
      <c r="J639" s="12">
        <v>263.93099999999998</v>
      </c>
      <c r="K639" s="12">
        <v>263.93099999999998</v>
      </c>
      <c r="L639" s="12">
        <v>906.4</v>
      </c>
      <c r="M639" s="12">
        <v>-65.031999999999996</v>
      </c>
      <c r="N639" s="12">
        <v>-65.031999999999996</v>
      </c>
      <c r="O639" s="12">
        <v>50.521000000000001</v>
      </c>
      <c r="P639" s="12">
        <v>0</v>
      </c>
      <c r="Q639" s="12">
        <v>0</v>
      </c>
      <c r="R639" s="12">
        <v>0</v>
      </c>
    </row>
    <row r="640" spans="1:18" ht="17" customHeight="1" x14ac:dyDescent="0.2">
      <c r="A640" s="5" t="s">
        <v>2697</v>
      </c>
      <c r="B640" s="6" t="s">
        <v>2698</v>
      </c>
      <c r="C640" s="5" t="s">
        <v>2699</v>
      </c>
      <c r="D640" s="5" t="s">
        <v>2699</v>
      </c>
      <c r="E640" s="5" t="s">
        <v>2700</v>
      </c>
      <c r="F640" s="5" t="s">
        <v>181</v>
      </c>
      <c r="G640" s="5" t="s">
        <v>2701</v>
      </c>
      <c r="H640" s="5" t="s">
        <v>74</v>
      </c>
      <c r="I640" s="5" t="str">
        <f>HYPERLINK("http://vittoriasedici.com/","vittoriasedici.com")</f>
        <v>vittoriasedici.com</v>
      </c>
      <c r="J640" s="7">
        <v>1041.73</v>
      </c>
      <c r="K640" s="7">
        <v>1041.73</v>
      </c>
      <c r="L640" s="8">
        <v>906.12800000000004</v>
      </c>
      <c r="M640" s="7">
        <v>61.548999999999999</v>
      </c>
      <c r="N640" s="7">
        <v>61.548999999999999</v>
      </c>
      <c r="O640" s="7">
        <v>-66.361000000000004</v>
      </c>
      <c r="P640" s="7">
        <v>18</v>
      </c>
      <c r="Q640" s="7">
        <v>18</v>
      </c>
      <c r="R640" s="7">
        <v>19</v>
      </c>
    </row>
    <row r="641" spans="1:18" ht="17" customHeight="1" x14ac:dyDescent="0.2">
      <c r="A641" s="10" t="s">
        <v>2702</v>
      </c>
      <c r="B641" s="11" t="s">
        <v>2703</v>
      </c>
      <c r="C641" s="10" t="s">
        <v>2704</v>
      </c>
      <c r="D641" s="10" t="s">
        <v>2704</v>
      </c>
      <c r="E641" s="10" t="s">
        <v>2705</v>
      </c>
      <c r="F641" s="10" t="s">
        <v>114</v>
      </c>
      <c r="G641" s="10" t="s">
        <v>298</v>
      </c>
      <c r="H641" s="10" t="s">
        <v>299</v>
      </c>
      <c r="I641" s="10" t="str">
        <f>HYPERLINK("http://www.gigliorosso.com/","www.gigliorosso.com")</f>
        <v>www.gigliorosso.com</v>
      </c>
      <c r="J641" s="12">
        <v>773.38900000000001</v>
      </c>
      <c r="K641" s="12">
        <v>773.38900000000001</v>
      </c>
      <c r="L641" s="12">
        <v>904.05899999999997</v>
      </c>
      <c r="M641" s="12">
        <v>1.478</v>
      </c>
      <c r="N641" s="12">
        <v>1.478</v>
      </c>
      <c r="O641" s="12">
        <v>1.3640000000000001</v>
      </c>
      <c r="P641" s="12">
        <v>3</v>
      </c>
      <c r="Q641" s="12">
        <v>3</v>
      </c>
      <c r="R641" s="12">
        <v>5</v>
      </c>
    </row>
    <row r="642" spans="1:18" ht="17" customHeight="1" x14ac:dyDescent="0.2">
      <c r="A642" s="5" t="s">
        <v>2706</v>
      </c>
      <c r="B642" s="6" t="s">
        <v>2707</v>
      </c>
      <c r="C642" s="5" t="s">
        <v>2708</v>
      </c>
      <c r="D642" s="5" t="s">
        <v>2708</v>
      </c>
      <c r="E642" s="5" t="s">
        <v>2709</v>
      </c>
      <c r="F642" s="5" t="s">
        <v>114</v>
      </c>
      <c r="G642" s="5" t="s">
        <v>1200</v>
      </c>
      <c r="H642" s="5" t="s">
        <v>407</v>
      </c>
      <c r="I642" s="5" t="str">
        <f>HYPERLINK("http://opiummilano.it/","opiummilano.it")</f>
        <v>opiummilano.it</v>
      </c>
      <c r="J642" s="7">
        <v>912.41600000000005</v>
      </c>
      <c r="K642" s="7">
        <v>912.41600000000005</v>
      </c>
      <c r="L642" s="8">
        <v>902.73900000000003</v>
      </c>
      <c r="M642" s="7">
        <v>1.76</v>
      </c>
      <c r="N642" s="7">
        <v>1.76</v>
      </c>
      <c r="O642" s="7">
        <v>3.6429999999999998</v>
      </c>
      <c r="P642" s="7">
        <v>1</v>
      </c>
      <c r="Q642" s="7">
        <v>1</v>
      </c>
      <c r="R642" s="7">
        <v>1</v>
      </c>
    </row>
    <row r="643" spans="1:18" ht="17" customHeight="1" x14ac:dyDescent="0.2">
      <c r="A643" s="10" t="s">
        <v>2710</v>
      </c>
      <c r="B643" s="11" t="s">
        <v>2711</v>
      </c>
      <c r="C643" s="10" t="s">
        <v>2712</v>
      </c>
      <c r="D643" s="10" t="s">
        <v>2712</v>
      </c>
      <c r="E643" s="10" t="s">
        <v>2713</v>
      </c>
      <c r="F643" s="10" t="s">
        <v>54</v>
      </c>
      <c r="G643" s="10" t="s">
        <v>67</v>
      </c>
      <c r="H643" s="10" t="s">
        <v>43</v>
      </c>
      <c r="I643" s="10" t="str">
        <f>HYPERLINK("http://www.diagosmanifatture.it/","www.diagosmanifatture.it")</f>
        <v>www.diagosmanifatture.it</v>
      </c>
      <c r="J643" s="12">
        <v>1921.4590000000001</v>
      </c>
      <c r="K643" s="12">
        <v>1539.2149999999999</v>
      </c>
      <c r="L643" s="12">
        <v>902.53</v>
      </c>
      <c r="M643" s="12">
        <v>87.98</v>
      </c>
      <c r="N643" s="12">
        <v>57.326000000000001</v>
      </c>
      <c r="O643" s="12">
        <v>1.069</v>
      </c>
      <c r="P643" s="13" t="s">
        <v>24</v>
      </c>
      <c r="Q643" s="13" t="s">
        <v>24</v>
      </c>
      <c r="R643" s="12">
        <v>9</v>
      </c>
    </row>
    <row r="644" spans="1:18" ht="17" customHeight="1" x14ac:dyDescent="0.2">
      <c r="A644" s="5" t="s">
        <v>2714</v>
      </c>
      <c r="B644" s="6" t="s">
        <v>2715</v>
      </c>
      <c r="C644" s="5" t="s">
        <v>2716</v>
      </c>
      <c r="D644" s="5" t="s">
        <v>2716</v>
      </c>
      <c r="E644" s="5" t="s">
        <v>2717</v>
      </c>
      <c r="F644" s="5" t="s">
        <v>462</v>
      </c>
      <c r="G644" s="5" t="s">
        <v>49</v>
      </c>
      <c r="H644" s="5" t="s">
        <v>23</v>
      </c>
      <c r="I644" s="5" t="str">
        <f>HYPERLINK("http://www.camiceriafiorentinareggello.com/","www.camiceriafiorentinareggello.com")</f>
        <v>www.camiceriafiorentinareggello.com</v>
      </c>
      <c r="J644" s="7">
        <v>930.702</v>
      </c>
      <c r="K644" s="7">
        <v>930.702</v>
      </c>
      <c r="L644" s="8">
        <v>901.06100000000004</v>
      </c>
      <c r="M644" s="7">
        <v>-301.02499999999998</v>
      </c>
      <c r="N644" s="7">
        <v>-301.02499999999998</v>
      </c>
      <c r="O644" s="7">
        <v>15.031000000000001</v>
      </c>
      <c r="P644" s="7">
        <v>19</v>
      </c>
      <c r="Q644" s="7">
        <v>19</v>
      </c>
      <c r="R644" s="7">
        <v>18</v>
      </c>
    </row>
    <row r="645" spans="1:18" ht="17" customHeight="1" x14ac:dyDescent="0.2">
      <c r="A645" s="10" t="s">
        <v>2718</v>
      </c>
      <c r="B645" s="11" t="s">
        <v>2719</v>
      </c>
      <c r="C645" s="10" t="s">
        <v>2720</v>
      </c>
      <c r="D645" s="10" t="s">
        <v>2720</v>
      </c>
      <c r="E645" s="10" t="s">
        <v>2721</v>
      </c>
      <c r="F645" s="10" t="s">
        <v>105</v>
      </c>
      <c r="G645" s="10" t="s">
        <v>224</v>
      </c>
      <c r="H645" s="10" t="s">
        <v>23</v>
      </c>
      <c r="I645" s="10" t="str">
        <f>HYPERLINK("http://ballanza.it/","ballanza.it")</f>
        <v>ballanza.it</v>
      </c>
      <c r="J645" s="12">
        <v>948.44500000000005</v>
      </c>
      <c r="K645" s="12">
        <v>948.44500000000005</v>
      </c>
      <c r="L645" s="12">
        <v>899.67200000000003</v>
      </c>
      <c r="M645" s="12">
        <v>141.84399999999999</v>
      </c>
      <c r="N645" s="12">
        <v>141.84399999999999</v>
      </c>
      <c r="O645" s="12">
        <v>161.179</v>
      </c>
      <c r="P645" s="13" t="s">
        <v>24</v>
      </c>
      <c r="Q645" s="13" t="s">
        <v>24</v>
      </c>
      <c r="R645" s="12">
        <v>9</v>
      </c>
    </row>
    <row r="646" spans="1:18" ht="17" customHeight="1" x14ac:dyDescent="0.2">
      <c r="A646" s="5" t="s">
        <v>2722</v>
      </c>
      <c r="B646" s="6" t="s">
        <v>2723</v>
      </c>
      <c r="C646" s="5" t="s">
        <v>2724</v>
      </c>
      <c r="D646" s="5" t="s">
        <v>2724</v>
      </c>
      <c r="E646" s="5" t="s">
        <v>2725</v>
      </c>
      <c r="F646" s="5" t="s">
        <v>105</v>
      </c>
      <c r="G646" s="5" t="s">
        <v>190</v>
      </c>
      <c r="H646" s="5" t="s">
        <v>74</v>
      </c>
      <c r="I646" s="5" t="str">
        <f>HYPERLINK("http://bougeotte.it/","bougeotte.it")</f>
        <v>bougeotte.it</v>
      </c>
      <c r="J646" s="7">
        <v>1156.3889999999999</v>
      </c>
      <c r="K646" s="7">
        <v>1156.3889999999999</v>
      </c>
      <c r="L646" s="8">
        <v>899.28</v>
      </c>
      <c r="M646" s="7">
        <v>359.26600000000002</v>
      </c>
      <c r="N646" s="7">
        <v>359.26600000000002</v>
      </c>
      <c r="O646" s="7">
        <v>-294.40699999999998</v>
      </c>
      <c r="P646" s="7">
        <v>2</v>
      </c>
      <c r="Q646" s="7">
        <v>2</v>
      </c>
      <c r="R646" s="7">
        <v>1</v>
      </c>
    </row>
    <row r="647" spans="1:18" ht="17" customHeight="1" x14ac:dyDescent="0.2">
      <c r="A647" s="10" t="s">
        <v>2726</v>
      </c>
      <c r="B647" s="11" t="s">
        <v>2727</v>
      </c>
      <c r="C647" s="10" t="s">
        <v>2728</v>
      </c>
      <c r="D647" s="10" t="s">
        <v>2728</v>
      </c>
      <c r="E647" s="10" t="s">
        <v>2729</v>
      </c>
      <c r="F647" s="10" t="s">
        <v>54</v>
      </c>
      <c r="G647" s="10" t="s">
        <v>89</v>
      </c>
      <c r="H647" s="10" t="s">
        <v>56</v>
      </c>
      <c r="I647" s="10" t="str">
        <f>HYPERLINK("http://www.fratellicucco.it/","www.fratellicucco.it")</f>
        <v>www.fratellicucco.it</v>
      </c>
      <c r="J647" s="12">
        <v>803.66099999999994</v>
      </c>
      <c r="K647" s="12">
        <v>803.66099999999994</v>
      </c>
      <c r="L647" s="12">
        <v>898.072</v>
      </c>
      <c r="M647" s="12">
        <v>-0.40500000000000003</v>
      </c>
      <c r="N647" s="12">
        <v>-0.40500000000000003</v>
      </c>
      <c r="O647" s="12">
        <v>9.8719999999999999</v>
      </c>
      <c r="P647" s="12">
        <v>11</v>
      </c>
      <c r="Q647" s="12">
        <v>11</v>
      </c>
      <c r="R647" s="12">
        <v>11</v>
      </c>
    </row>
    <row r="648" spans="1:18" ht="17" customHeight="1" x14ac:dyDescent="0.2">
      <c r="A648" s="5" t="s">
        <v>2730</v>
      </c>
      <c r="B648" s="6" t="s">
        <v>2731</v>
      </c>
      <c r="C648" s="5" t="s">
        <v>2732</v>
      </c>
      <c r="D648" s="5" t="s">
        <v>2732</v>
      </c>
      <c r="E648" s="5" t="s">
        <v>2733</v>
      </c>
      <c r="F648" s="5" t="s">
        <v>41</v>
      </c>
      <c r="G648" s="5" t="s">
        <v>190</v>
      </c>
      <c r="H648" s="5" t="s">
        <v>74</v>
      </c>
      <c r="I648" s="5" t="str">
        <f>HYPERLINK("http://www.lip-srl.it/","www.lip-srl.it")</f>
        <v>www.lip-srl.it</v>
      </c>
      <c r="J648" s="7">
        <v>794.13300000000004</v>
      </c>
      <c r="K648" s="7">
        <v>794.13300000000004</v>
      </c>
      <c r="L648" s="8">
        <v>896.74199999999996</v>
      </c>
      <c r="M648" s="7">
        <v>5.5149999999999997</v>
      </c>
      <c r="N648" s="7">
        <v>5.5149999999999997</v>
      </c>
      <c r="O648" s="7">
        <v>0.314</v>
      </c>
      <c r="P648" s="7">
        <v>3</v>
      </c>
      <c r="Q648" s="7">
        <v>3</v>
      </c>
      <c r="R648" s="7">
        <v>3</v>
      </c>
    </row>
    <row r="649" spans="1:18" ht="17" customHeight="1" x14ac:dyDescent="0.2">
      <c r="A649" s="10" t="s">
        <v>2734</v>
      </c>
      <c r="B649" s="11" t="s">
        <v>2735</v>
      </c>
      <c r="C649" s="10" t="s">
        <v>2736</v>
      </c>
      <c r="D649" s="10" t="s">
        <v>2736</v>
      </c>
      <c r="E649" s="10" t="s">
        <v>2737</v>
      </c>
      <c r="F649" s="10" t="s">
        <v>105</v>
      </c>
      <c r="G649" s="10" t="s">
        <v>552</v>
      </c>
      <c r="H649" s="10" t="s">
        <v>74</v>
      </c>
      <c r="I649" s="10" t="str">
        <f>HYPERLINK("http://www.arttextile.it/","www.arttextile.it")</f>
        <v>www.arttextile.it</v>
      </c>
      <c r="J649" s="12">
        <v>970.39</v>
      </c>
      <c r="K649" s="12">
        <v>970.39</v>
      </c>
      <c r="L649" s="12">
        <v>896.52599999999995</v>
      </c>
      <c r="M649" s="12">
        <v>1.103</v>
      </c>
      <c r="N649" s="12">
        <v>1.103</v>
      </c>
      <c r="O649" s="12">
        <v>1.849</v>
      </c>
      <c r="P649" s="13" t="s">
        <v>24</v>
      </c>
      <c r="Q649" s="13" t="s">
        <v>24</v>
      </c>
      <c r="R649" s="12">
        <v>7</v>
      </c>
    </row>
    <row r="650" spans="1:18" ht="43" customHeight="1" x14ac:dyDescent="0.2">
      <c r="A650" s="5" t="s">
        <v>2738</v>
      </c>
      <c r="B650" s="6" t="s">
        <v>2739</v>
      </c>
      <c r="C650" s="5" t="s">
        <v>2740</v>
      </c>
      <c r="D650" s="5" t="s">
        <v>2740</v>
      </c>
      <c r="E650" s="5" t="s">
        <v>2741</v>
      </c>
      <c r="F650" s="5" t="s">
        <v>21</v>
      </c>
      <c r="G650" s="5" t="s">
        <v>79</v>
      </c>
      <c r="H650" s="5" t="s">
        <v>56</v>
      </c>
      <c r="I650" s="5" t="str">
        <f>HYPERLINK("http://formulashoes.com/","formulashoes.com")</f>
        <v>formulashoes.com</v>
      </c>
      <c r="J650" s="7">
        <v>918.798</v>
      </c>
      <c r="K650" s="7">
        <v>918.798</v>
      </c>
      <c r="L650" s="8">
        <v>896.32299999999998</v>
      </c>
      <c r="M650" s="7">
        <v>1.4159999999999999</v>
      </c>
      <c r="N650" s="7">
        <v>1.4159999999999999</v>
      </c>
      <c r="O650" s="7">
        <v>9.2390000000000008</v>
      </c>
      <c r="P650" s="9" t="s">
        <v>24</v>
      </c>
      <c r="Q650" s="9" t="s">
        <v>24</v>
      </c>
      <c r="R650" s="7">
        <v>8</v>
      </c>
    </row>
    <row r="651" spans="1:18" ht="17" customHeight="1" x14ac:dyDescent="0.2">
      <c r="A651" s="10" t="s">
        <v>2742</v>
      </c>
      <c r="B651" s="11" t="s">
        <v>2743</v>
      </c>
      <c r="C651" s="10" t="s">
        <v>2744</v>
      </c>
      <c r="D651" s="10" t="s">
        <v>2744</v>
      </c>
      <c r="E651" s="10" t="s">
        <v>2745</v>
      </c>
      <c r="F651" s="10" t="s">
        <v>105</v>
      </c>
      <c r="G651" s="10" t="s">
        <v>552</v>
      </c>
      <c r="H651" s="10" t="s">
        <v>74</v>
      </c>
      <c r="I651" s="10" t="str">
        <f>HYPERLINK("http://www.effegproduzionecravatteecamicie.it/","www.effegproduzionecravatteecamicie.it")</f>
        <v>www.effegproduzionecravatteecamicie.it</v>
      </c>
      <c r="J651" s="12">
        <v>720.71600000000001</v>
      </c>
      <c r="K651" s="12">
        <v>720.71600000000001</v>
      </c>
      <c r="L651" s="12">
        <v>895.03899999999999</v>
      </c>
      <c r="M651" s="12">
        <v>12.609</v>
      </c>
      <c r="N651" s="12">
        <v>12.609</v>
      </c>
      <c r="O651" s="12">
        <v>16.617000000000001</v>
      </c>
      <c r="P651" s="13" t="s">
        <v>24</v>
      </c>
      <c r="Q651" s="13" t="s">
        <v>24</v>
      </c>
      <c r="R651" s="12">
        <v>1</v>
      </c>
    </row>
    <row r="652" spans="1:18" ht="17" customHeight="1" x14ac:dyDescent="0.2">
      <c r="A652" s="5" t="s">
        <v>2746</v>
      </c>
      <c r="B652" s="6" t="s">
        <v>2747</v>
      </c>
      <c r="C652" s="5" t="s">
        <v>2748</v>
      </c>
      <c r="D652" s="5" t="s">
        <v>2748</v>
      </c>
      <c r="E652" s="5" t="s">
        <v>2749</v>
      </c>
      <c r="F652" s="5" t="s">
        <v>54</v>
      </c>
      <c r="G652" s="5" t="s">
        <v>79</v>
      </c>
      <c r="H652" s="5" t="s">
        <v>56</v>
      </c>
      <c r="I652" s="5" t="str">
        <f>HYPERLINK("http://www.sandagroup.it/","http://www.sandagroup.it/")</f>
        <v>http://www.sandagroup.it/</v>
      </c>
      <c r="J652" s="7">
        <v>589.048</v>
      </c>
      <c r="K652" s="7">
        <v>589.048</v>
      </c>
      <c r="L652" s="8">
        <v>894.53800000000001</v>
      </c>
      <c r="M652" s="7">
        <v>4.5039999999999996</v>
      </c>
      <c r="N652" s="7">
        <v>4.5039999999999996</v>
      </c>
      <c r="O652" s="7">
        <v>7.74</v>
      </c>
      <c r="P652" s="9" t="s">
        <v>24</v>
      </c>
      <c r="Q652" s="9" t="s">
        <v>24</v>
      </c>
      <c r="R652" s="7">
        <v>7</v>
      </c>
    </row>
    <row r="653" spans="1:18" ht="29.5" customHeight="1" x14ac:dyDescent="0.2">
      <c r="A653" s="10" t="s">
        <v>2750</v>
      </c>
      <c r="B653" s="11" t="s">
        <v>2751</v>
      </c>
      <c r="C653" s="10" t="s">
        <v>2752</v>
      </c>
      <c r="D653" s="10" t="s">
        <v>2752</v>
      </c>
      <c r="E653" s="10" t="s">
        <v>2753</v>
      </c>
      <c r="F653" s="10" t="s">
        <v>29</v>
      </c>
      <c r="G653" s="10" t="s">
        <v>2754</v>
      </c>
      <c r="H653" s="10" t="s">
        <v>74</v>
      </c>
      <c r="I653" s="10" t="str">
        <f>HYPERLINK("http://www.confezionisalvalaglio.it/","www.confezionisalvalaglio.it")</f>
        <v>www.confezionisalvalaglio.it</v>
      </c>
      <c r="J653" s="12">
        <v>954.755</v>
      </c>
      <c r="K653" s="12">
        <v>954.755</v>
      </c>
      <c r="L653" s="12">
        <v>893.55100000000004</v>
      </c>
      <c r="M653" s="12">
        <v>19.73</v>
      </c>
      <c r="N653" s="12">
        <v>19.73</v>
      </c>
      <c r="O653" s="12">
        <v>6.8540000000000001</v>
      </c>
      <c r="P653" s="12">
        <v>12</v>
      </c>
      <c r="Q653" s="12">
        <v>12</v>
      </c>
      <c r="R653" s="12">
        <v>9</v>
      </c>
    </row>
    <row r="654" spans="1:18" ht="17" customHeight="1" x14ac:dyDescent="0.2">
      <c r="A654" s="5" t="s">
        <v>2755</v>
      </c>
      <c r="B654" s="6" t="s">
        <v>2756</v>
      </c>
      <c r="C654" s="5" t="s">
        <v>2757</v>
      </c>
      <c r="D654" s="5" t="s">
        <v>2757</v>
      </c>
      <c r="E654" s="5" t="s">
        <v>2758</v>
      </c>
      <c r="F654" s="5" t="s">
        <v>462</v>
      </c>
      <c r="G654" s="5" t="s">
        <v>211</v>
      </c>
      <c r="H654" s="5" t="s">
        <v>74</v>
      </c>
      <c r="I654" s="5" t="str">
        <f>HYPERLINK("http://www.ceresolialbina.it/","www.ceresolialbina.it")</f>
        <v>www.ceresolialbina.it</v>
      </c>
      <c r="J654" s="7">
        <v>994.476</v>
      </c>
      <c r="K654" s="7">
        <v>994.476</v>
      </c>
      <c r="L654" s="8">
        <v>890.43899999999996</v>
      </c>
      <c r="M654" s="7">
        <v>254.53800000000001</v>
      </c>
      <c r="N654" s="7">
        <v>254.53800000000001</v>
      </c>
      <c r="O654" s="7">
        <v>170.13300000000001</v>
      </c>
      <c r="P654" s="9" t="s">
        <v>24</v>
      </c>
      <c r="Q654" s="9" t="s">
        <v>24</v>
      </c>
      <c r="R654" s="7">
        <v>15</v>
      </c>
    </row>
    <row r="655" spans="1:18" ht="29.5" customHeight="1" x14ac:dyDescent="0.2">
      <c r="A655" s="10" t="s">
        <v>2759</v>
      </c>
      <c r="B655" s="11" t="s">
        <v>2760</v>
      </c>
      <c r="C655" s="10" t="s">
        <v>2761</v>
      </c>
      <c r="D655" s="10" t="s">
        <v>2761</v>
      </c>
      <c r="E655" s="10" t="s">
        <v>2762</v>
      </c>
      <c r="F655" s="10" t="s">
        <v>114</v>
      </c>
      <c r="G655" s="10" t="s">
        <v>49</v>
      </c>
      <c r="H655" s="10" t="s">
        <v>23</v>
      </c>
      <c r="I655" s="10" t="str">
        <f>HYPERLINK("http://www.ibert.it/","www.ibert.it")</f>
        <v>www.ibert.it</v>
      </c>
      <c r="J655" s="12">
        <v>692.904</v>
      </c>
      <c r="K655" s="12">
        <v>692.904</v>
      </c>
      <c r="L655" s="12">
        <v>890.44200000000001</v>
      </c>
      <c r="M655" s="12">
        <v>17.843</v>
      </c>
      <c r="N655" s="12">
        <v>17.843</v>
      </c>
      <c r="O655" s="12">
        <v>15.917</v>
      </c>
      <c r="P655" s="12">
        <v>1</v>
      </c>
      <c r="Q655" s="12">
        <v>1</v>
      </c>
      <c r="R655" s="12">
        <v>2</v>
      </c>
    </row>
    <row r="656" spans="1:18" ht="17" customHeight="1" x14ac:dyDescent="0.2">
      <c r="A656" s="5" t="s">
        <v>2763</v>
      </c>
      <c r="B656" s="6" t="s">
        <v>2764</v>
      </c>
      <c r="C656" s="5" t="s">
        <v>2765</v>
      </c>
      <c r="D656" s="5" t="s">
        <v>2765</v>
      </c>
      <c r="E656" s="5" t="s">
        <v>2766</v>
      </c>
      <c r="F656" s="5" t="s">
        <v>181</v>
      </c>
      <c r="G656" s="5" t="s">
        <v>298</v>
      </c>
      <c r="H656" s="5" t="s">
        <v>299</v>
      </c>
      <c r="I656" s="5" t="str">
        <f>HYPERLINK("http://www.wool-street.it/","www.wool-street.it")</f>
        <v>www.wool-street.it</v>
      </c>
      <c r="J656" s="7">
        <v>1000.122</v>
      </c>
      <c r="K656" s="7">
        <v>1000.122</v>
      </c>
      <c r="L656" s="8">
        <v>890.14499999999998</v>
      </c>
      <c r="M656" s="7">
        <v>39.380000000000003</v>
      </c>
      <c r="N656" s="7">
        <v>39.380000000000003</v>
      </c>
      <c r="O656" s="7">
        <v>3.7450000000000001</v>
      </c>
      <c r="P656" s="9" t="s">
        <v>24</v>
      </c>
      <c r="Q656" s="9" t="s">
        <v>24</v>
      </c>
      <c r="R656" s="7">
        <v>0</v>
      </c>
    </row>
    <row r="657" spans="1:18" ht="17" customHeight="1" x14ac:dyDescent="0.2">
      <c r="A657" s="10" t="s">
        <v>2767</v>
      </c>
      <c r="B657" s="11" t="s">
        <v>2768</v>
      </c>
      <c r="C657" s="10" t="s">
        <v>2769</v>
      </c>
      <c r="D657" s="10" t="s">
        <v>2769</v>
      </c>
      <c r="E657" s="10" t="s">
        <v>2770</v>
      </c>
      <c r="F657" s="10" t="s">
        <v>48</v>
      </c>
      <c r="G657" s="10" t="s">
        <v>308</v>
      </c>
      <c r="H657" s="10" t="s">
        <v>299</v>
      </c>
      <c r="I657" s="10" t="str">
        <f>HYPERLINK("http://www.robertagandolfi.com/","www.robertagandolfi.com")</f>
        <v>www.robertagandolfi.com</v>
      </c>
      <c r="J657" s="12">
        <v>1107.33</v>
      </c>
      <c r="K657" s="12">
        <v>1107.33</v>
      </c>
      <c r="L657" s="12">
        <v>888.86400000000003</v>
      </c>
      <c r="M657" s="12">
        <v>-84.742999999999995</v>
      </c>
      <c r="N657" s="12">
        <v>-84.742999999999995</v>
      </c>
      <c r="O657" s="12">
        <v>-76.013000000000005</v>
      </c>
      <c r="P657" s="12">
        <v>4</v>
      </c>
      <c r="Q657" s="12">
        <v>4</v>
      </c>
      <c r="R657" s="12">
        <v>5</v>
      </c>
    </row>
    <row r="658" spans="1:18" ht="17" customHeight="1" x14ac:dyDescent="0.2">
      <c r="A658" s="5" t="s">
        <v>2771</v>
      </c>
      <c r="B658" s="6" t="s">
        <v>2772</v>
      </c>
      <c r="C658" s="5" t="s">
        <v>2773</v>
      </c>
      <c r="D658" s="5" t="s">
        <v>2773</v>
      </c>
      <c r="E658" s="5" t="s">
        <v>2774</v>
      </c>
      <c r="F658" s="5" t="s">
        <v>29</v>
      </c>
      <c r="G658" s="5" t="s">
        <v>73</v>
      </c>
      <c r="H658" s="5" t="s">
        <v>74</v>
      </c>
      <c r="I658" s="5" t="str">
        <f>HYPERLINK("http://www.nicaonline.it/","www.nicaonline.it")</f>
        <v>www.nicaonline.it</v>
      </c>
      <c r="J658" s="7">
        <v>978.66200000000003</v>
      </c>
      <c r="K658" s="7">
        <v>978.66200000000003</v>
      </c>
      <c r="L658" s="8">
        <v>886.97699999999998</v>
      </c>
      <c r="M658" s="7">
        <v>3.2829999999999999</v>
      </c>
      <c r="N658" s="7">
        <v>3.2829999999999999</v>
      </c>
      <c r="O658" s="7">
        <v>0.88</v>
      </c>
      <c r="P658" s="7">
        <v>11</v>
      </c>
      <c r="Q658" s="7">
        <v>11</v>
      </c>
      <c r="R658" s="7">
        <v>12</v>
      </c>
    </row>
    <row r="659" spans="1:18" ht="17" customHeight="1" x14ac:dyDescent="0.2">
      <c r="A659" s="10" t="s">
        <v>2775</v>
      </c>
      <c r="B659" s="11" t="s">
        <v>2776</v>
      </c>
      <c r="C659" s="10" t="s">
        <v>2777</v>
      </c>
      <c r="D659" s="10" t="s">
        <v>2777</v>
      </c>
      <c r="E659" s="10" t="s">
        <v>2778</v>
      </c>
      <c r="F659" s="10" t="s">
        <v>114</v>
      </c>
      <c r="G659" s="10" t="s">
        <v>73</v>
      </c>
      <c r="H659" s="10" t="s">
        <v>74</v>
      </c>
      <c r="I659" s="10" t="str">
        <f>HYPERLINK("http://www.maestriaitaliana.it/","www.maestriaitaliana.it")</f>
        <v>www.maestriaitaliana.it</v>
      </c>
      <c r="J659" s="12">
        <v>792.20299999999997</v>
      </c>
      <c r="K659" s="12">
        <v>792.20299999999997</v>
      </c>
      <c r="L659" s="12">
        <v>885.976</v>
      </c>
      <c r="M659" s="12">
        <v>32.286000000000001</v>
      </c>
      <c r="N659" s="12">
        <v>32.286000000000001</v>
      </c>
      <c r="O659" s="12">
        <v>-73.703999999999994</v>
      </c>
      <c r="P659" s="12">
        <v>9</v>
      </c>
      <c r="Q659" s="12">
        <v>9</v>
      </c>
      <c r="R659" s="12">
        <v>9</v>
      </c>
    </row>
    <row r="660" spans="1:18" ht="17" customHeight="1" x14ac:dyDescent="0.2">
      <c r="A660" s="5" t="s">
        <v>2779</v>
      </c>
      <c r="B660" s="6" t="s">
        <v>2780</v>
      </c>
      <c r="C660" s="5" t="s">
        <v>2781</v>
      </c>
      <c r="D660" s="5" t="s">
        <v>2781</v>
      </c>
      <c r="E660" s="5" t="s">
        <v>2782</v>
      </c>
      <c r="F660" s="5" t="s">
        <v>114</v>
      </c>
      <c r="G660" s="5" t="s">
        <v>94</v>
      </c>
      <c r="H660" s="5" t="s">
        <v>62</v>
      </c>
      <c r="I660" s="5" t="str">
        <f>HYPERLINK("http://www.atlasmaterassi.it/","www.atlasmaterassi.it")</f>
        <v>www.atlasmaterassi.it</v>
      </c>
      <c r="J660" s="7">
        <v>1219.873</v>
      </c>
      <c r="K660" s="7">
        <v>1219.873</v>
      </c>
      <c r="L660" s="8">
        <v>885.15099999999995</v>
      </c>
      <c r="M660" s="7">
        <v>37.93</v>
      </c>
      <c r="N660" s="7">
        <v>37.93</v>
      </c>
      <c r="O660" s="7">
        <v>38.612000000000002</v>
      </c>
      <c r="P660" s="7">
        <v>1</v>
      </c>
      <c r="Q660" s="7">
        <v>1</v>
      </c>
      <c r="R660" s="7">
        <v>1</v>
      </c>
    </row>
    <row r="661" spans="1:18" ht="17" customHeight="1" x14ac:dyDescent="0.2">
      <c r="A661" s="10" t="s">
        <v>2783</v>
      </c>
      <c r="B661" s="11" t="s">
        <v>2784</v>
      </c>
      <c r="C661" s="10" t="s">
        <v>2785</v>
      </c>
      <c r="D661" s="10" t="s">
        <v>2785</v>
      </c>
      <c r="E661" s="10" t="s">
        <v>2786</v>
      </c>
      <c r="F661" s="10" t="s">
        <v>114</v>
      </c>
      <c r="G661" s="10" t="s">
        <v>190</v>
      </c>
      <c r="H661" s="10" t="s">
        <v>74</v>
      </c>
      <c r="I661" s="10" t="str">
        <f>HYPERLINK("http://gr10k.com/","gr10k.com")</f>
        <v>gr10k.com</v>
      </c>
      <c r="J661" s="12">
        <v>1374.4369999999999</v>
      </c>
      <c r="K661" s="12">
        <v>1374.4369999999999</v>
      </c>
      <c r="L661" s="12">
        <v>884.72</v>
      </c>
      <c r="M661" s="12">
        <v>1.333</v>
      </c>
      <c r="N661" s="12">
        <v>1.333</v>
      </c>
      <c r="O661" s="12">
        <v>-33.402000000000001</v>
      </c>
      <c r="P661" s="12">
        <v>3</v>
      </c>
      <c r="Q661" s="12">
        <v>3</v>
      </c>
      <c r="R661" s="12">
        <v>3</v>
      </c>
    </row>
    <row r="662" spans="1:18" ht="29.5" customHeight="1" x14ac:dyDescent="0.2">
      <c r="A662" s="5" t="s">
        <v>2787</v>
      </c>
      <c r="B662" s="6" t="s">
        <v>2788</v>
      </c>
      <c r="C662" s="5" t="s">
        <v>2789</v>
      </c>
      <c r="D662" s="5" t="s">
        <v>2789</v>
      </c>
      <c r="E662" s="5" t="s">
        <v>2790</v>
      </c>
      <c r="F662" s="5" t="s">
        <v>48</v>
      </c>
      <c r="G662" s="5" t="s">
        <v>100</v>
      </c>
      <c r="H662" s="5" t="s">
        <v>62</v>
      </c>
      <c r="I662" s="5" t="str">
        <f>HYPERLINK("http://www.partenope.it/","www.partenope.it")</f>
        <v>www.partenope.it</v>
      </c>
      <c r="J662" s="7">
        <v>883.51199999999994</v>
      </c>
      <c r="K662" s="9" t="s">
        <v>24</v>
      </c>
      <c r="L662" s="8">
        <v>883.51199999999994</v>
      </c>
      <c r="M662" s="7">
        <v>19.648</v>
      </c>
      <c r="N662" s="9" t="s">
        <v>24</v>
      </c>
      <c r="O662" s="7">
        <v>19.648</v>
      </c>
      <c r="P662" s="7">
        <v>37</v>
      </c>
      <c r="Q662" s="9" t="s">
        <v>24</v>
      </c>
      <c r="R662" s="7">
        <v>37</v>
      </c>
    </row>
    <row r="663" spans="1:18" ht="29.5" customHeight="1" x14ac:dyDescent="0.2">
      <c r="A663" s="10" t="s">
        <v>2791</v>
      </c>
      <c r="B663" s="11" t="s">
        <v>2792</v>
      </c>
      <c r="C663" s="10" t="s">
        <v>2793</v>
      </c>
      <c r="D663" s="10" t="s">
        <v>2793</v>
      </c>
      <c r="E663" s="10" t="s">
        <v>2794</v>
      </c>
      <c r="F663" s="10" t="s">
        <v>48</v>
      </c>
      <c r="G663" s="10" t="s">
        <v>298</v>
      </c>
      <c r="H663" s="10" t="s">
        <v>299</v>
      </c>
      <c r="I663" s="10" t="str">
        <f>HYPERLINK("http://www.jessycinturificio.it/","www.jessycinturificio.it")</f>
        <v>www.jessycinturificio.it</v>
      </c>
      <c r="J663" s="12">
        <v>563.84900000000005</v>
      </c>
      <c r="K663" s="12">
        <v>563.84900000000005</v>
      </c>
      <c r="L663" s="12">
        <v>883.50699999999995</v>
      </c>
      <c r="M663" s="12">
        <v>0.314</v>
      </c>
      <c r="N663" s="12">
        <v>0.314</v>
      </c>
      <c r="O663" s="12">
        <v>1.3</v>
      </c>
      <c r="P663" s="13" t="s">
        <v>24</v>
      </c>
      <c r="Q663" s="13" t="s">
        <v>24</v>
      </c>
      <c r="R663" s="12">
        <v>7</v>
      </c>
    </row>
    <row r="664" spans="1:18" ht="43" customHeight="1" x14ac:dyDescent="0.2">
      <c r="A664" s="5" t="s">
        <v>2795</v>
      </c>
      <c r="B664" s="6" t="s">
        <v>2796</v>
      </c>
      <c r="C664" s="5" t="s">
        <v>2797</v>
      </c>
      <c r="D664" s="5" t="s">
        <v>2797</v>
      </c>
      <c r="E664" s="5" t="s">
        <v>2798</v>
      </c>
      <c r="F664" s="5" t="s">
        <v>21</v>
      </c>
      <c r="G664" s="5" t="s">
        <v>79</v>
      </c>
      <c r="H664" s="5" t="s">
        <v>56</v>
      </c>
      <c r="I664" s="5" t="str">
        <f>HYPERLINK("http://newswing.it/","newswing.it")</f>
        <v>newswing.it</v>
      </c>
      <c r="J664" s="7">
        <v>855.98</v>
      </c>
      <c r="K664" s="7">
        <v>855.98</v>
      </c>
      <c r="L664" s="8">
        <v>883.39700000000005</v>
      </c>
      <c r="M664" s="7">
        <v>6.4349999999999996</v>
      </c>
      <c r="N664" s="7">
        <v>6.4349999999999996</v>
      </c>
      <c r="O664" s="7">
        <v>47.082000000000001</v>
      </c>
      <c r="P664" s="7">
        <v>8</v>
      </c>
      <c r="Q664" s="7">
        <v>8</v>
      </c>
      <c r="R664" s="7">
        <v>9</v>
      </c>
    </row>
    <row r="665" spans="1:18" ht="17" customHeight="1" x14ac:dyDescent="0.2">
      <c r="A665" s="10" t="s">
        <v>2799</v>
      </c>
      <c r="B665" s="11" t="s">
        <v>2800</v>
      </c>
      <c r="C665" s="10" t="s">
        <v>2801</v>
      </c>
      <c r="D665" s="10" t="s">
        <v>2801</v>
      </c>
      <c r="E665" s="10" t="s">
        <v>2802</v>
      </c>
      <c r="F665" s="10" t="s">
        <v>325</v>
      </c>
      <c r="G665" s="10" t="s">
        <v>36</v>
      </c>
      <c r="H665" s="10" t="s">
        <v>23</v>
      </c>
      <c r="I665" s="10" t="str">
        <f>HYPERLINK("http://www.maglificiolgtoscana.com/","www.maglificiolgtoscana.com")</f>
        <v>www.maglificiolgtoscana.com</v>
      </c>
      <c r="J665" s="12">
        <v>861.84299999999996</v>
      </c>
      <c r="K665" s="12">
        <v>861.84299999999996</v>
      </c>
      <c r="L665" s="12">
        <v>883.25800000000004</v>
      </c>
      <c r="M665" s="12">
        <v>18.248000000000001</v>
      </c>
      <c r="N665" s="12">
        <v>18.248000000000001</v>
      </c>
      <c r="O665" s="12">
        <v>26.484999999999999</v>
      </c>
      <c r="P665" s="12">
        <v>4</v>
      </c>
      <c r="Q665" s="12">
        <v>4</v>
      </c>
      <c r="R665" s="12">
        <v>4</v>
      </c>
    </row>
    <row r="666" spans="1:18" ht="17" customHeight="1" x14ac:dyDescent="0.2">
      <c r="A666" s="5" t="s">
        <v>2803</v>
      </c>
      <c r="B666" s="6" t="s">
        <v>2804</v>
      </c>
      <c r="C666" s="5" t="s">
        <v>2805</v>
      </c>
      <c r="D666" s="5" t="s">
        <v>2805</v>
      </c>
      <c r="E666" s="5" t="s">
        <v>2806</v>
      </c>
      <c r="F666" s="5" t="s">
        <v>181</v>
      </c>
      <c r="G666" s="5" t="s">
        <v>158</v>
      </c>
      <c r="H666" s="5" t="s">
        <v>159</v>
      </c>
      <c r="I666" s="5" t="str">
        <f>HYPERLINK("http://shop.mivania.it/","shop.mivania.it")</f>
        <v>shop.mivania.it</v>
      </c>
      <c r="J666" s="7">
        <v>1149.03</v>
      </c>
      <c r="K666" s="7">
        <v>1149.03</v>
      </c>
      <c r="L666" s="8">
        <v>882.79100000000005</v>
      </c>
      <c r="M666" s="7">
        <v>-10.705</v>
      </c>
      <c r="N666" s="7">
        <v>-10.705</v>
      </c>
      <c r="O666" s="7">
        <v>-18.509</v>
      </c>
      <c r="P666" s="7">
        <v>5</v>
      </c>
      <c r="Q666" s="7">
        <v>5</v>
      </c>
      <c r="R666" s="7">
        <v>2</v>
      </c>
    </row>
    <row r="667" spans="1:18" ht="17" customHeight="1" x14ac:dyDescent="0.2">
      <c r="A667" s="10" t="s">
        <v>2807</v>
      </c>
      <c r="B667" s="11" t="s">
        <v>2808</v>
      </c>
      <c r="C667" s="10" t="s">
        <v>2809</v>
      </c>
      <c r="D667" s="10" t="s">
        <v>2809</v>
      </c>
      <c r="E667" s="10" t="s">
        <v>2810</v>
      </c>
      <c r="F667" s="10" t="s">
        <v>149</v>
      </c>
      <c r="G667" s="10" t="s">
        <v>676</v>
      </c>
      <c r="H667" s="10" t="s">
        <v>74</v>
      </c>
      <c r="I667" s="10" t="str">
        <f>HYPERLINK("http://www.baldrighi.it/","www.baldrighi.it")</f>
        <v>www.baldrighi.it</v>
      </c>
      <c r="J667" s="12">
        <v>928.24699999999996</v>
      </c>
      <c r="K667" s="12">
        <v>928.24699999999996</v>
      </c>
      <c r="L667" s="12">
        <v>882.62800000000004</v>
      </c>
      <c r="M667" s="12">
        <v>7.3609999999999998</v>
      </c>
      <c r="N667" s="12">
        <v>7.3609999999999998</v>
      </c>
      <c r="O667" s="12">
        <v>15.298999999999999</v>
      </c>
      <c r="P667" s="12">
        <v>7</v>
      </c>
      <c r="Q667" s="12">
        <v>7</v>
      </c>
      <c r="R667" s="12">
        <v>6</v>
      </c>
    </row>
    <row r="668" spans="1:18" ht="17" customHeight="1" x14ac:dyDescent="0.2">
      <c r="A668" s="5" t="s">
        <v>2811</v>
      </c>
      <c r="B668" s="6" t="s">
        <v>2812</v>
      </c>
      <c r="C668" s="5" t="s">
        <v>2813</v>
      </c>
      <c r="D668" s="5" t="s">
        <v>2813</v>
      </c>
      <c r="E668" s="5" t="s">
        <v>2814</v>
      </c>
      <c r="F668" s="5" t="s">
        <v>462</v>
      </c>
      <c r="G668" s="5" t="s">
        <v>437</v>
      </c>
      <c r="H668" s="5" t="s">
        <v>407</v>
      </c>
      <c r="I668" s="5" t="str">
        <f>HYPERLINK("http://www.roelcamiceria.it/","www.roelcamiceria.it")</f>
        <v>www.roelcamiceria.it</v>
      </c>
      <c r="J668" s="7">
        <v>966.90099999999995</v>
      </c>
      <c r="K668" s="7">
        <v>966.90099999999995</v>
      </c>
      <c r="L668" s="8">
        <v>881.70100000000002</v>
      </c>
      <c r="M668" s="7">
        <v>102.184</v>
      </c>
      <c r="N668" s="7">
        <v>102.184</v>
      </c>
      <c r="O668" s="7">
        <v>87.254999999999995</v>
      </c>
      <c r="P668" s="7">
        <v>14</v>
      </c>
      <c r="Q668" s="7">
        <v>14</v>
      </c>
      <c r="R668" s="7">
        <v>15</v>
      </c>
    </row>
    <row r="669" spans="1:18" ht="17" customHeight="1" x14ac:dyDescent="0.2">
      <c r="A669" s="10" t="s">
        <v>2815</v>
      </c>
      <c r="B669" s="11" t="s">
        <v>2816</v>
      </c>
      <c r="C669" s="10" t="s">
        <v>2817</v>
      </c>
      <c r="D669" s="10" t="s">
        <v>2817</v>
      </c>
      <c r="E669" s="10" t="s">
        <v>2818</v>
      </c>
      <c r="F669" s="10" t="s">
        <v>29</v>
      </c>
      <c r="G669" s="10" t="s">
        <v>49</v>
      </c>
      <c r="H669" s="10" t="s">
        <v>23</v>
      </c>
      <c r="I669" s="10" t="str">
        <f>HYPERLINK("http://www.coolfarm.it/","www.coolfarm.it")</f>
        <v>www.coolfarm.it</v>
      </c>
      <c r="J669" s="12">
        <v>674.36099999999999</v>
      </c>
      <c r="K669" s="12">
        <v>674.36099999999999</v>
      </c>
      <c r="L669" s="12">
        <v>880.86099999999999</v>
      </c>
      <c r="M669" s="12">
        <v>-587.95299999999997</v>
      </c>
      <c r="N669" s="12">
        <v>-587.95299999999997</v>
      </c>
      <c r="O669" s="12">
        <v>-96.918999999999997</v>
      </c>
      <c r="P669" s="12">
        <v>8</v>
      </c>
      <c r="Q669" s="12">
        <v>8</v>
      </c>
      <c r="R669" s="12">
        <v>8</v>
      </c>
    </row>
    <row r="670" spans="1:18" ht="17" customHeight="1" x14ac:dyDescent="0.2">
      <c r="A670" s="5" t="s">
        <v>2819</v>
      </c>
      <c r="B670" s="6" t="s">
        <v>2820</v>
      </c>
      <c r="C670" s="5" t="s">
        <v>2821</v>
      </c>
      <c r="D670" s="5" t="s">
        <v>2821</v>
      </c>
      <c r="E670" s="5" t="s">
        <v>2822</v>
      </c>
      <c r="F670" s="5" t="s">
        <v>29</v>
      </c>
      <c r="G670" s="5" t="s">
        <v>190</v>
      </c>
      <c r="H670" s="5" t="s">
        <v>74</v>
      </c>
      <c r="I670" s="5" t="str">
        <f>HYPERLINK("http://xaviersrl.com/","xaviersrl.com")</f>
        <v>xaviersrl.com</v>
      </c>
      <c r="J670" s="7">
        <v>829.803</v>
      </c>
      <c r="K670" s="7">
        <v>829.803</v>
      </c>
      <c r="L670" s="8">
        <v>879.21100000000001</v>
      </c>
      <c r="M670" s="7">
        <v>-2563.328</v>
      </c>
      <c r="N670" s="7">
        <v>-2563.328</v>
      </c>
      <c r="O670" s="7">
        <v>-1445.835</v>
      </c>
      <c r="P670" s="7">
        <v>60</v>
      </c>
      <c r="Q670" s="7">
        <v>60</v>
      </c>
      <c r="R670" s="7">
        <v>50</v>
      </c>
    </row>
    <row r="671" spans="1:18" ht="17" customHeight="1" x14ac:dyDescent="0.2">
      <c r="A671" s="10" t="s">
        <v>2823</v>
      </c>
      <c r="B671" s="11" t="s">
        <v>2824</v>
      </c>
      <c r="C671" s="10" t="s">
        <v>2825</v>
      </c>
      <c r="D671" s="10" t="s">
        <v>2825</v>
      </c>
      <c r="E671" s="10" t="s">
        <v>2826</v>
      </c>
      <c r="F671" s="10" t="s">
        <v>21</v>
      </c>
      <c r="G671" s="10" t="s">
        <v>229</v>
      </c>
      <c r="H671" s="10" t="s">
        <v>31</v>
      </c>
      <c r="I671" s="10" t="str">
        <f>HYPERLINK("http://www.kasucci.com/","www.kasucci.com")</f>
        <v>www.kasucci.com</v>
      </c>
      <c r="J671" s="12">
        <v>818.63699999999994</v>
      </c>
      <c r="K671" s="12">
        <v>818.63699999999994</v>
      </c>
      <c r="L671" s="12">
        <v>878.25300000000004</v>
      </c>
      <c r="M671" s="12">
        <v>-103.907</v>
      </c>
      <c r="N671" s="12">
        <v>-103.907</v>
      </c>
      <c r="O671" s="12">
        <v>-76.718000000000004</v>
      </c>
      <c r="P671" s="12">
        <v>17</v>
      </c>
      <c r="Q671" s="12">
        <v>17</v>
      </c>
      <c r="R671" s="12">
        <v>17</v>
      </c>
    </row>
    <row r="672" spans="1:18" ht="17" customHeight="1" x14ac:dyDescent="0.2">
      <c r="A672" s="5" t="s">
        <v>2827</v>
      </c>
      <c r="B672" s="6" t="s">
        <v>2828</v>
      </c>
      <c r="C672" s="5" t="s">
        <v>2829</v>
      </c>
      <c r="D672" s="5" t="s">
        <v>2829</v>
      </c>
      <c r="E672" s="5" t="s">
        <v>2830</v>
      </c>
      <c r="F672" s="5" t="s">
        <v>114</v>
      </c>
      <c r="G672" s="5" t="s">
        <v>22</v>
      </c>
      <c r="H672" s="5" t="s">
        <v>23</v>
      </c>
      <c r="I672" s="5" t="str">
        <f>HYPERLINK("http://www.madeinbogranarolo.it/","www.madeinbogranarolo.it")</f>
        <v>www.madeinbogranarolo.it</v>
      </c>
      <c r="J672" s="7">
        <v>873.38599999999997</v>
      </c>
      <c r="K672" s="7">
        <v>873.38599999999997</v>
      </c>
      <c r="L672" s="8">
        <v>877.99599999999998</v>
      </c>
      <c r="M672" s="7">
        <v>1.9</v>
      </c>
      <c r="N672" s="7">
        <v>1.9</v>
      </c>
      <c r="O672" s="7">
        <v>0.22500000000000001</v>
      </c>
      <c r="P672" s="9" t="s">
        <v>24</v>
      </c>
      <c r="Q672" s="9" t="s">
        <v>24</v>
      </c>
      <c r="R672" s="7">
        <v>6</v>
      </c>
    </row>
    <row r="673" spans="1:18" ht="43" customHeight="1" x14ac:dyDescent="0.2">
      <c r="A673" s="10" t="s">
        <v>2831</v>
      </c>
      <c r="B673" s="11" t="s">
        <v>2832</v>
      </c>
      <c r="C673" s="10" t="s">
        <v>2833</v>
      </c>
      <c r="D673" s="10" t="s">
        <v>2833</v>
      </c>
      <c r="E673" s="10" t="s">
        <v>2834</v>
      </c>
      <c r="F673" s="10" t="s">
        <v>114</v>
      </c>
      <c r="G673" s="10" t="s">
        <v>1210</v>
      </c>
      <c r="H673" s="10" t="s">
        <v>1132</v>
      </c>
      <c r="I673" s="10" t="str">
        <f>HYPERLINK("http://www.icsdivise.com/","www.icsdivise.com")</f>
        <v>www.icsdivise.com</v>
      </c>
      <c r="J673" s="12">
        <v>1008.116</v>
      </c>
      <c r="K673" s="12">
        <v>1008.116</v>
      </c>
      <c r="L673" s="12">
        <v>877.27099999999996</v>
      </c>
      <c r="M673" s="12">
        <v>-26.542999999999999</v>
      </c>
      <c r="N673" s="12">
        <v>-26.542999999999999</v>
      </c>
      <c r="O673" s="12">
        <v>9.859</v>
      </c>
      <c r="P673" s="13" t="s">
        <v>24</v>
      </c>
      <c r="Q673" s="13" t="s">
        <v>24</v>
      </c>
      <c r="R673" s="12">
        <v>3</v>
      </c>
    </row>
    <row r="674" spans="1:18" ht="17" customHeight="1" x14ac:dyDescent="0.2">
      <c r="A674" s="5" t="s">
        <v>2835</v>
      </c>
      <c r="B674" s="6" t="s">
        <v>2836</v>
      </c>
      <c r="C674" s="5" t="s">
        <v>2837</v>
      </c>
      <c r="D674" s="5" t="s">
        <v>2837</v>
      </c>
      <c r="E674" s="5" t="s">
        <v>2838</v>
      </c>
      <c r="F674" s="5" t="s">
        <v>114</v>
      </c>
      <c r="G674" s="5" t="s">
        <v>158</v>
      </c>
      <c r="H674" s="5" t="s">
        <v>159</v>
      </c>
      <c r="I674" s="5" t="str">
        <f>HYPERLINK("http://saralanzi.it/","saralanzi.it")</f>
        <v>saralanzi.it</v>
      </c>
      <c r="J674" s="7">
        <v>576.91</v>
      </c>
      <c r="K674" s="7">
        <v>576.91</v>
      </c>
      <c r="L674" s="8">
        <v>876.93</v>
      </c>
      <c r="M674" s="7">
        <v>-37.521999999999998</v>
      </c>
      <c r="N674" s="7">
        <v>-37.521999999999998</v>
      </c>
      <c r="O674" s="7">
        <v>-28.178999999999998</v>
      </c>
      <c r="P674" s="7">
        <v>4</v>
      </c>
      <c r="Q674" s="7">
        <v>4</v>
      </c>
      <c r="R674" s="7">
        <v>4</v>
      </c>
    </row>
    <row r="675" spans="1:18" ht="17" customHeight="1" x14ac:dyDescent="0.2">
      <c r="A675" s="10" t="s">
        <v>2839</v>
      </c>
      <c r="B675" s="11" t="s">
        <v>2840</v>
      </c>
      <c r="C675" s="10" t="s">
        <v>2841</v>
      </c>
      <c r="D675" s="10" t="s">
        <v>2841</v>
      </c>
      <c r="E675" s="10" t="s">
        <v>2842</v>
      </c>
      <c r="F675" s="10" t="s">
        <v>134</v>
      </c>
      <c r="G675" s="10" t="s">
        <v>135</v>
      </c>
      <c r="H675" s="10" t="s">
        <v>31</v>
      </c>
      <c r="I675" s="10" t="str">
        <f>HYPERLINK("http://www.bullish.it/","www.bullish.it")</f>
        <v>www.bullish.it</v>
      </c>
      <c r="J675" s="12">
        <v>223.221</v>
      </c>
      <c r="K675" s="12">
        <v>223.221</v>
      </c>
      <c r="L675" s="12">
        <v>876.90800000000002</v>
      </c>
      <c r="M675" s="12">
        <v>-39.396000000000001</v>
      </c>
      <c r="N675" s="12">
        <v>-39.396000000000001</v>
      </c>
      <c r="O675" s="12">
        <v>4.4809999999999999</v>
      </c>
      <c r="P675" s="13" t="s">
        <v>24</v>
      </c>
      <c r="Q675" s="13" t="s">
        <v>24</v>
      </c>
      <c r="R675" s="12">
        <v>9</v>
      </c>
    </row>
    <row r="676" spans="1:18" ht="17" customHeight="1" x14ac:dyDescent="0.2">
      <c r="A676" s="5" t="s">
        <v>2843</v>
      </c>
      <c r="B676" s="6" t="s">
        <v>2844</v>
      </c>
      <c r="C676" s="5" t="s">
        <v>2845</v>
      </c>
      <c r="D676" s="5" t="s">
        <v>2845</v>
      </c>
      <c r="E676" s="5" t="s">
        <v>2846</v>
      </c>
      <c r="F676" s="5" t="s">
        <v>376</v>
      </c>
      <c r="G676" s="5" t="s">
        <v>224</v>
      </c>
      <c r="H676" s="5" t="s">
        <v>23</v>
      </c>
      <c r="I676" s="5" t="str">
        <f>HYPERLINK("http://www.tacchificio-atlantide.it/","www.tacchificio-atlantide.it")</f>
        <v>www.tacchificio-atlantide.it</v>
      </c>
      <c r="J676" s="7">
        <v>716.66800000000001</v>
      </c>
      <c r="K676" s="7">
        <v>716.66800000000001</v>
      </c>
      <c r="L676" s="8">
        <v>876.81600000000003</v>
      </c>
      <c r="M676" s="7">
        <v>1.0640000000000001</v>
      </c>
      <c r="N676" s="7">
        <v>1.0640000000000001</v>
      </c>
      <c r="O676" s="7">
        <v>7.9240000000000004</v>
      </c>
      <c r="P676" s="7">
        <v>19</v>
      </c>
      <c r="Q676" s="7">
        <v>19</v>
      </c>
      <c r="R676" s="7">
        <v>20</v>
      </c>
    </row>
    <row r="677" spans="1:18" ht="17" customHeight="1" x14ac:dyDescent="0.2">
      <c r="A677" s="10" t="s">
        <v>2847</v>
      </c>
      <c r="B677" s="11" t="s">
        <v>2848</v>
      </c>
      <c r="C677" s="10" t="s">
        <v>2849</v>
      </c>
      <c r="D677" s="10" t="s">
        <v>2849</v>
      </c>
      <c r="E677" s="10" t="s">
        <v>2850</v>
      </c>
      <c r="F677" s="10" t="s">
        <v>114</v>
      </c>
      <c r="G677" s="10" t="s">
        <v>115</v>
      </c>
      <c r="H677" s="10" t="s">
        <v>43</v>
      </c>
      <c r="I677" s="10" t="str">
        <f>HYPERLINK("http://www.tiemmeconf.it/","www.tiemmeconf.it")</f>
        <v>www.tiemmeconf.it</v>
      </c>
      <c r="J677" s="12">
        <v>921.5</v>
      </c>
      <c r="K677" s="12">
        <v>921.5</v>
      </c>
      <c r="L677" s="12">
        <v>875.24199999999996</v>
      </c>
      <c r="M677" s="12">
        <v>41.488999999999997</v>
      </c>
      <c r="N677" s="12">
        <v>41.488999999999997</v>
      </c>
      <c r="O677" s="12">
        <v>18.036000000000001</v>
      </c>
      <c r="P677" s="12">
        <v>11</v>
      </c>
      <c r="Q677" s="12">
        <v>11</v>
      </c>
      <c r="R677" s="12">
        <v>10</v>
      </c>
    </row>
    <row r="678" spans="1:18" ht="17" customHeight="1" x14ac:dyDescent="0.2">
      <c r="A678" s="5" t="s">
        <v>2851</v>
      </c>
      <c r="B678" s="6" t="s">
        <v>2852</v>
      </c>
      <c r="C678" s="5" t="s">
        <v>2853</v>
      </c>
      <c r="D678" s="5" t="s">
        <v>2853</v>
      </c>
      <c r="E678" s="5" t="s">
        <v>2854</v>
      </c>
      <c r="F678" s="5" t="s">
        <v>41</v>
      </c>
      <c r="G678" s="5" t="s">
        <v>224</v>
      </c>
      <c r="H678" s="5" t="s">
        <v>23</v>
      </c>
      <c r="I678" s="5" t="str">
        <f>HYPERLINK("http://anaconda.it/","anaconda.it/")</f>
        <v>anaconda.it/</v>
      </c>
      <c r="J678" s="7">
        <v>1116.0719999999999</v>
      </c>
      <c r="K678" s="7">
        <v>1116.0719999999999</v>
      </c>
      <c r="L678" s="8">
        <v>875.12199999999996</v>
      </c>
      <c r="M678" s="7">
        <v>10.081</v>
      </c>
      <c r="N678" s="7">
        <v>10.081</v>
      </c>
      <c r="O678" s="7">
        <v>23.241</v>
      </c>
      <c r="P678" s="9" t="s">
        <v>24</v>
      </c>
      <c r="Q678" s="9" t="s">
        <v>24</v>
      </c>
      <c r="R678" s="7">
        <v>6</v>
      </c>
    </row>
    <row r="679" spans="1:18" ht="17" customHeight="1" x14ac:dyDescent="0.2">
      <c r="A679" s="10" t="s">
        <v>2855</v>
      </c>
      <c r="B679" s="11" t="s">
        <v>2856</v>
      </c>
      <c r="C679" s="10" t="s">
        <v>2857</v>
      </c>
      <c r="D679" s="10" t="s">
        <v>2857</v>
      </c>
      <c r="E679" s="10" t="s">
        <v>2858</v>
      </c>
      <c r="F679" s="10" t="s">
        <v>367</v>
      </c>
      <c r="G679" s="10" t="s">
        <v>49</v>
      </c>
      <c r="H679" s="10" t="s">
        <v>23</v>
      </c>
      <c r="I679" s="10" t="str">
        <f>HYPERLINK("http://www.myjobwear.it/","www.myjobwear.it")</f>
        <v>www.myjobwear.it</v>
      </c>
      <c r="J679" s="12">
        <v>846.88900000000001</v>
      </c>
      <c r="K679" s="12">
        <v>846.88900000000001</v>
      </c>
      <c r="L679" s="12">
        <v>874.90700000000004</v>
      </c>
      <c r="M679" s="12">
        <v>8.6430000000000007</v>
      </c>
      <c r="N679" s="12">
        <v>8.6430000000000007</v>
      </c>
      <c r="O679" s="12">
        <v>27.591999999999999</v>
      </c>
      <c r="P679" s="12">
        <v>9</v>
      </c>
      <c r="Q679" s="12">
        <v>9</v>
      </c>
      <c r="R679" s="12">
        <v>9</v>
      </c>
    </row>
    <row r="680" spans="1:18" ht="17" customHeight="1" x14ac:dyDescent="0.2">
      <c r="A680" s="5" t="s">
        <v>2859</v>
      </c>
      <c r="B680" s="6" t="s">
        <v>2860</v>
      </c>
      <c r="C680" s="5" t="s">
        <v>2861</v>
      </c>
      <c r="D680" s="5" t="s">
        <v>2861</v>
      </c>
      <c r="E680" s="5" t="s">
        <v>2862</v>
      </c>
      <c r="F680" s="5" t="s">
        <v>21</v>
      </c>
      <c r="G680" s="5" t="s">
        <v>100</v>
      </c>
      <c r="H680" s="5" t="s">
        <v>62</v>
      </c>
      <c r="I680" s="5" t="str">
        <f>HYPERLINK("http://www.marenz.it/","www.marenz.it")</f>
        <v>www.marenz.it</v>
      </c>
      <c r="J680" s="7">
        <v>719.96699999999998</v>
      </c>
      <c r="K680" s="7">
        <v>719.96699999999998</v>
      </c>
      <c r="L680" s="8">
        <v>871.12099999999998</v>
      </c>
      <c r="M680" s="7">
        <v>55.573999999999998</v>
      </c>
      <c r="N680" s="7">
        <v>55.573999999999998</v>
      </c>
      <c r="O680" s="7">
        <v>31.631</v>
      </c>
      <c r="P680" s="7">
        <v>3</v>
      </c>
      <c r="Q680" s="7">
        <v>3</v>
      </c>
      <c r="R680" s="7">
        <v>1</v>
      </c>
    </row>
    <row r="681" spans="1:18" ht="17" customHeight="1" x14ac:dyDescent="0.2">
      <c r="A681" s="10" t="s">
        <v>2863</v>
      </c>
      <c r="B681" s="11" t="s">
        <v>2864</v>
      </c>
      <c r="C681" s="10" t="s">
        <v>2865</v>
      </c>
      <c r="D681" s="10" t="s">
        <v>2865</v>
      </c>
      <c r="E681" s="10" t="s">
        <v>2866</v>
      </c>
      <c r="F681" s="10" t="s">
        <v>181</v>
      </c>
      <c r="G681" s="10" t="s">
        <v>49</v>
      </c>
      <c r="H681" s="10" t="s">
        <v>23</v>
      </c>
      <c r="I681" s="10" t="str">
        <f>HYPERLINK("http://www.progettomaglia.com/","www.progettomaglia.com")</f>
        <v>www.progettomaglia.com</v>
      </c>
      <c r="J681" s="12">
        <v>1230.126</v>
      </c>
      <c r="K681" s="12">
        <v>1230.126</v>
      </c>
      <c r="L681" s="12">
        <v>870.55700000000002</v>
      </c>
      <c r="M681" s="12">
        <v>18.628</v>
      </c>
      <c r="N681" s="12">
        <v>18.628</v>
      </c>
      <c r="O681" s="12">
        <v>16.010999999999999</v>
      </c>
      <c r="P681" s="13" t="s">
        <v>24</v>
      </c>
      <c r="Q681" s="13" t="s">
        <v>24</v>
      </c>
      <c r="R681" s="12">
        <v>9</v>
      </c>
    </row>
    <row r="682" spans="1:18" ht="17" customHeight="1" x14ac:dyDescent="0.2">
      <c r="A682" s="5" t="s">
        <v>2867</v>
      </c>
      <c r="B682" s="6" t="s">
        <v>2868</v>
      </c>
      <c r="C682" s="5" t="s">
        <v>2869</v>
      </c>
      <c r="D682" s="5" t="s">
        <v>2869</v>
      </c>
      <c r="E682" s="5" t="s">
        <v>2870</v>
      </c>
      <c r="F682" s="5" t="s">
        <v>114</v>
      </c>
      <c r="G682" s="5" t="s">
        <v>115</v>
      </c>
      <c r="H682" s="5" t="s">
        <v>43</v>
      </c>
      <c r="I682" s="5" t="str">
        <f>HYPERLINK("http://www.camiceriamirach.it/","www.camiceriamirach.it")</f>
        <v>www.camiceriamirach.it</v>
      </c>
      <c r="J682" s="7">
        <v>870.63699999999994</v>
      </c>
      <c r="K682" s="9" t="s">
        <v>24</v>
      </c>
      <c r="L682" s="8">
        <v>870.63699999999994</v>
      </c>
      <c r="M682" s="7">
        <v>64.498000000000005</v>
      </c>
      <c r="N682" s="9" t="s">
        <v>24</v>
      </c>
      <c r="O682" s="7">
        <v>64.498000000000005</v>
      </c>
      <c r="P682" s="7">
        <v>17</v>
      </c>
      <c r="Q682" s="9" t="s">
        <v>24</v>
      </c>
      <c r="R682" s="7">
        <v>17</v>
      </c>
    </row>
    <row r="683" spans="1:18" ht="17" customHeight="1" x14ac:dyDescent="0.2">
      <c r="A683" s="10" t="s">
        <v>2871</v>
      </c>
      <c r="B683" s="11" t="s">
        <v>2872</v>
      </c>
      <c r="C683" s="10" t="s">
        <v>2873</v>
      </c>
      <c r="D683" s="10" t="s">
        <v>2873</v>
      </c>
      <c r="E683" s="10" t="s">
        <v>2874</v>
      </c>
      <c r="F683" s="10" t="s">
        <v>21</v>
      </c>
      <c r="G683" s="10" t="s">
        <v>100</v>
      </c>
      <c r="H683" s="10" t="s">
        <v>62</v>
      </c>
      <c r="I683" s="10" t="str">
        <f>HYPERLINK("http://lea-gu.com/","lea-gu.com")</f>
        <v>lea-gu.com</v>
      </c>
      <c r="J683" s="12">
        <v>655.88300000000004</v>
      </c>
      <c r="K683" s="12">
        <v>655.88300000000004</v>
      </c>
      <c r="L683" s="12">
        <v>870.39800000000002</v>
      </c>
      <c r="M683" s="12">
        <v>-12.772</v>
      </c>
      <c r="N683" s="12">
        <v>-12.772</v>
      </c>
      <c r="O683" s="12">
        <v>29.390999999999998</v>
      </c>
      <c r="P683" s="12">
        <v>2</v>
      </c>
      <c r="Q683" s="12">
        <v>2</v>
      </c>
      <c r="R683" s="12">
        <v>2</v>
      </c>
    </row>
    <row r="684" spans="1:18" ht="29.5" customHeight="1" x14ac:dyDescent="0.2">
      <c r="A684" s="5" t="s">
        <v>2875</v>
      </c>
      <c r="B684" s="6" t="s">
        <v>2876</v>
      </c>
      <c r="C684" s="5" t="s">
        <v>2877</v>
      </c>
      <c r="D684" s="5" t="s">
        <v>2877</v>
      </c>
      <c r="E684" s="5" t="s">
        <v>2878</v>
      </c>
      <c r="F684" s="5" t="s">
        <v>21</v>
      </c>
      <c r="G684" s="5" t="s">
        <v>49</v>
      </c>
      <c r="H684" s="5" t="s">
        <v>23</v>
      </c>
      <c r="I684" s="5" t="str">
        <f>HYPERLINK("http://www.rugiati.com/","www.rugiati.com")</f>
        <v>www.rugiati.com</v>
      </c>
      <c r="J684" s="7">
        <v>605.54100000000005</v>
      </c>
      <c r="K684" s="7">
        <v>605.54100000000005</v>
      </c>
      <c r="L684" s="8">
        <v>870.25599999999997</v>
      </c>
      <c r="M684" s="7">
        <v>-16.658000000000001</v>
      </c>
      <c r="N684" s="7">
        <v>-16.658000000000001</v>
      </c>
      <c r="O684" s="7">
        <v>-1.1140000000000001</v>
      </c>
      <c r="P684" s="7">
        <v>10</v>
      </c>
      <c r="Q684" s="7">
        <v>10</v>
      </c>
      <c r="R684" s="7">
        <v>10</v>
      </c>
    </row>
    <row r="685" spans="1:18" ht="17" customHeight="1" x14ac:dyDescent="0.2">
      <c r="A685" s="10" t="s">
        <v>2879</v>
      </c>
      <c r="B685" s="11" t="s">
        <v>2880</v>
      </c>
      <c r="C685" s="10" t="s">
        <v>2881</v>
      </c>
      <c r="D685" s="10" t="s">
        <v>2881</v>
      </c>
      <c r="E685" s="10" t="s">
        <v>2882</v>
      </c>
      <c r="F685" s="10" t="s">
        <v>21</v>
      </c>
      <c r="G685" s="10" t="s">
        <v>79</v>
      </c>
      <c r="H685" s="10" t="s">
        <v>56</v>
      </c>
      <c r="I685" s="10" t="str">
        <f>HYPERLINK("http://www.lellabaldi.com/","www.lellabaldi.com")</f>
        <v>www.lellabaldi.com</v>
      </c>
      <c r="J685" s="12">
        <v>1198.498</v>
      </c>
      <c r="K685" s="12">
        <v>1198.498</v>
      </c>
      <c r="L685" s="12">
        <v>869.66300000000001</v>
      </c>
      <c r="M685" s="12">
        <v>17.524000000000001</v>
      </c>
      <c r="N685" s="12">
        <v>17.524000000000001</v>
      </c>
      <c r="O685" s="12">
        <v>81.043999999999997</v>
      </c>
      <c r="P685" s="12">
        <v>0</v>
      </c>
      <c r="Q685" s="12">
        <v>0</v>
      </c>
      <c r="R685" s="12">
        <v>0</v>
      </c>
    </row>
    <row r="686" spans="1:18" ht="17" customHeight="1" x14ac:dyDescent="0.2">
      <c r="A686" s="5" t="s">
        <v>2883</v>
      </c>
      <c r="B686" s="6" t="s">
        <v>2884</v>
      </c>
      <c r="C686" s="5" t="s">
        <v>2885</v>
      </c>
      <c r="D686" s="5" t="s">
        <v>2885</v>
      </c>
      <c r="E686" s="5" t="s">
        <v>2886</v>
      </c>
      <c r="F686" s="5" t="s">
        <v>105</v>
      </c>
      <c r="G686" s="5" t="s">
        <v>234</v>
      </c>
      <c r="H686" s="5" t="s">
        <v>23</v>
      </c>
      <c r="I686" s="5" t="str">
        <f>HYPERLINK("http://www.didree.it/","www.didree.it")</f>
        <v>www.didree.it</v>
      </c>
      <c r="J686" s="7">
        <v>758.923</v>
      </c>
      <c r="K686" s="7">
        <v>758.923</v>
      </c>
      <c r="L686" s="8">
        <v>868.53300000000002</v>
      </c>
      <c r="M686" s="7">
        <v>2.6850000000000001</v>
      </c>
      <c r="N686" s="7">
        <v>2.6850000000000001</v>
      </c>
      <c r="O686" s="7">
        <v>0.155</v>
      </c>
      <c r="P686" s="7">
        <v>4</v>
      </c>
      <c r="Q686" s="7">
        <v>4</v>
      </c>
      <c r="R686" s="7">
        <v>4</v>
      </c>
    </row>
    <row r="687" spans="1:18" ht="17" customHeight="1" x14ac:dyDescent="0.2">
      <c r="A687" s="10" t="s">
        <v>2887</v>
      </c>
      <c r="B687" s="11" t="s">
        <v>2888</v>
      </c>
      <c r="C687" s="10" t="s">
        <v>2889</v>
      </c>
      <c r="D687" s="10" t="s">
        <v>2889</v>
      </c>
      <c r="E687" s="10" t="s">
        <v>2890</v>
      </c>
      <c r="F687" s="10" t="s">
        <v>181</v>
      </c>
      <c r="G687" s="10" t="s">
        <v>298</v>
      </c>
      <c r="H687" s="10" t="s">
        <v>299</v>
      </c>
      <c r="I687" s="10" t="str">
        <f>HYPERLINK("http://www.enne-elle.it/","www.enne-elle.it")</f>
        <v>www.enne-elle.it</v>
      </c>
      <c r="J687" s="12">
        <v>1159.21</v>
      </c>
      <c r="K687" s="12">
        <v>1159.21</v>
      </c>
      <c r="L687" s="12">
        <v>867.80700000000002</v>
      </c>
      <c r="M687" s="12">
        <v>10.209</v>
      </c>
      <c r="N687" s="12">
        <v>10.209</v>
      </c>
      <c r="O687" s="12">
        <v>3.7869999999999999</v>
      </c>
      <c r="P687" s="12">
        <v>11</v>
      </c>
      <c r="Q687" s="12">
        <v>11</v>
      </c>
      <c r="R687" s="12">
        <v>9</v>
      </c>
    </row>
    <row r="688" spans="1:18" ht="68" customHeight="1" x14ac:dyDescent="0.2">
      <c r="A688" s="5" t="s">
        <v>2891</v>
      </c>
      <c r="B688" s="6" t="s">
        <v>2892</v>
      </c>
      <c r="C688" s="5" t="s">
        <v>2893</v>
      </c>
      <c r="D688" s="5" t="s">
        <v>2893</v>
      </c>
      <c r="E688" s="5" t="s">
        <v>2894</v>
      </c>
      <c r="F688" s="5" t="s">
        <v>105</v>
      </c>
      <c r="G688" s="5" t="s">
        <v>49</v>
      </c>
      <c r="H688" s="5" t="s">
        <v>23</v>
      </c>
      <c r="I688" s="5" t="str">
        <f>HYPERLINK("http://www.ldsshop.it/","www.ldsshop.it")</f>
        <v>www.ldsshop.it</v>
      </c>
      <c r="J688" s="7">
        <v>876.47400000000005</v>
      </c>
      <c r="K688" s="7">
        <v>876.47400000000005</v>
      </c>
      <c r="L688" s="8">
        <v>867.78</v>
      </c>
      <c r="M688" s="7">
        <v>12.901</v>
      </c>
      <c r="N688" s="7">
        <v>12.901</v>
      </c>
      <c r="O688" s="7">
        <v>40.109000000000002</v>
      </c>
      <c r="P688" s="7">
        <v>8</v>
      </c>
      <c r="Q688" s="7">
        <v>8</v>
      </c>
      <c r="R688" s="7">
        <v>8</v>
      </c>
    </row>
    <row r="689" spans="1:18" ht="17" customHeight="1" x14ac:dyDescent="0.2">
      <c r="A689" s="10" t="s">
        <v>2895</v>
      </c>
      <c r="B689" s="11" t="s">
        <v>2896</v>
      </c>
      <c r="C689" s="10" t="s">
        <v>2897</v>
      </c>
      <c r="D689" s="10" t="s">
        <v>2897</v>
      </c>
      <c r="E689" s="10" t="s">
        <v>2898</v>
      </c>
      <c r="F689" s="10" t="s">
        <v>29</v>
      </c>
      <c r="G689" s="10" t="s">
        <v>140</v>
      </c>
      <c r="H689" s="10" t="s">
        <v>43</v>
      </c>
      <c r="I689" s="10" t="str">
        <f>HYPERLINK("http://future-service.net/","future-service.net")</f>
        <v>future-service.net</v>
      </c>
      <c r="J689" s="12">
        <v>671.75</v>
      </c>
      <c r="K689" s="12">
        <v>671.75</v>
      </c>
      <c r="L689" s="12">
        <v>867.56299999999999</v>
      </c>
      <c r="M689" s="12">
        <v>23.013999999999999</v>
      </c>
      <c r="N689" s="12">
        <v>23.013999999999999</v>
      </c>
      <c r="O689" s="12">
        <v>5.7329999999999997</v>
      </c>
      <c r="P689" s="12">
        <v>5</v>
      </c>
      <c r="Q689" s="12">
        <v>5</v>
      </c>
      <c r="R689" s="12">
        <v>5</v>
      </c>
    </row>
    <row r="690" spans="1:18" ht="17" customHeight="1" x14ac:dyDescent="0.2">
      <c r="A690" s="5" t="s">
        <v>2899</v>
      </c>
      <c r="B690" s="6" t="s">
        <v>2900</v>
      </c>
      <c r="C690" s="5" t="s">
        <v>2901</v>
      </c>
      <c r="D690" s="5" t="s">
        <v>2901</v>
      </c>
      <c r="E690" s="5" t="s">
        <v>2902</v>
      </c>
      <c r="F690" s="5" t="s">
        <v>21</v>
      </c>
      <c r="G690" s="5" t="s">
        <v>49</v>
      </c>
      <c r="H690" s="5" t="s">
        <v>23</v>
      </c>
      <c r="I690" s="5" t="str">
        <f>HYPERLINK("http://stefanobemer.com/","stefanobemer.com")</f>
        <v>stefanobemer.com</v>
      </c>
      <c r="J690" s="7">
        <v>1137.029</v>
      </c>
      <c r="K690" s="7">
        <v>1137.029</v>
      </c>
      <c r="L690" s="8">
        <v>865.51900000000001</v>
      </c>
      <c r="M690" s="7">
        <v>8.6929999999999996</v>
      </c>
      <c r="N690" s="7">
        <v>8.6929999999999996</v>
      </c>
      <c r="O690" s="7">
        <v>24.167000000000002</v>
      </c>
      <c r="P690" s="7">
        <v>10</v>
      </c>
      <c r="Q690" s="7">
        <v>10</v>
      </c>
      <c r="R690" s="7">
        <v>8</v>
      </c>
    </row>
    <row r="691" spans="1:18" ht="17" customHeight="1" x14ac:dyDescent="0.2">
      <c r="A691" s="10" t="s">
        <v>2903</v>
      </c>
      <c r="B691" s="11" t="s">
        <v>2904</v>
      </c>
      <c r="C691" s="10" t="s">
        <v>2905</v>
      </c>
      <c r="D691" s="10" t="s">
        <v>2905</v>
      </c>
      <c r="E691" s="10" t="s">
        <v>2906</v>
      </c>
      <c r="F691" s="10" t="s">
        <v>21</v>
      </c>
      <c r="G691" s="10" t="s">
        <v>503</v>
      </c>
      <c r="H691" s="10" t="s">
        <v>62</v>
      </c>
      <c r="I691" s="10" t="str">
        <f>HYPERLINK("http://www.tranceriaitalyshoes.it/","www.tranceriaitalyshoes.it")</f>
        <v>www.tranceriaitalyshoes.it</v>
      </c>
      <c r="J691" s="12">
        <v>1419.694</v>
      </c>
      <c r="K691" s="12">
        <v>1419.694</v>
      </c>
      <c r="L691" s="12">
        <v>865.25699999999995</v>
      </c>
      <c r="M691" s="12">
        <v>86.143000000000001</v>
      </c>
      <c r="N691" s="12">
        <v>86.143000000000001</v>
      </c>
      <c r="O691" s="12">
        <v>57.728999999999999</v>
      </c>
      <c r="P691" s="13" t="s">
        <v>24</v>
      </c>
      <c r="Q691" s="13" t="s">
        <v>24</v>
      </c>
      <c r="R691" s="12">
        <v>15</v>
      </c>
    </row>
    <row r="692" spans="1:18" ht="17" customHeight="1" x14ac:dyDescent="0.2">
      <c r="A692" s="5" t="s">
        <v>2907</v>
      </c>
      <c r="B692" s="6" t="s">
        <v>2908</v>
      </c>
      <c r="C692" s="5" t="s">
        <v>2909</v>
      </c>
      <c r="D692" s="5" t="s">
        <v>2909</v>
      </c>
      <c r="E692" s="5" t="s">
        <v>2910</v>
      </c>
      <c r="F692" s="5" t="s">
        <v>29</v>
      </c>
      <c r="G692" s="5" t="s">
        <v>140</v>
      </c>
      <c r="H692" s="5" t="s">
        <v>43</v>
      </c>
      <c r="I692" s="5" t="str">
        <f>HYPERLINK("http://www.confezionibarbon.it/","www.confezionibarbon.it")</f>
        <v>www.confezionibarbon.it</v>
      </c>
      <c r="J692" s="7">
        <v>1113.876</v>
      </c>
      <c r="K692" s="7">
        <v>1113.876</v>
      </c>
      <c r="L692" s="8">
        <v>863.42200000000003</v>
      </c>
      <c r="M692" s="7">
        <v>10.986000000000001</v>
      </c>
      <c r="N692" s="7">
        <v>10.986000000000001</v>
      </c>
      <c r="O692" s="7">
        <v>-16.591999999999999</v>
      </c>
      <c r="P692" s="7">
        <v>19</v>
      </c>
      <c r="Q692" s="7">
        <v>19</v>
      </c>
      <c r="R692" s="7">
        <v>15</v>
      </c>
    </row>
    <row r="693" spans="1:18" ht="17" customHeight="1" x14ac:dyDescent="0.2">
      <c r="A693" s="10" t="s">
        <v>2911</v>
      </c>
      <c r="B693" s="11" t="s">
        <v>2912</v>
      </c>
      <c r="C693" s="10" t="s">
        <v>2913</v>
      </c>
      <c r="D693" s="10" t="s">
        <v>2913</v>
      </c>
      <c r="E693" s="10" t="s">
        <v>2914</v>
      </c>
      <c r="F693" s="10" t="s">
        <v>114</v>
      </c>
      <c r="G693" s="10" t="s">
        <v>229</v>
      </c>
      <c r="H693" s="10" t="s">
        <v>31</v>
      </c>
      <c r="I693" s="10" t="str">
        <f>HYPERLINK("http://pflmoda.wylit.it/","pflmoda.wylit.it")</f>
        <v>pflmoda.wylit.it</v>
      </c>
      <c r="J693" s="12">
        <v>918.49</v>
      </c>
      <c r="K693" s="12">
        <v>918.49</v>
      </c>
      <c r="L693" s="12">
        <v>863.31100000000004</v>
      </c>
      <c r="M693" s="12">
        <v>10.619</v>
      </c>
      <c r="N693" s="12">
        <v>10.619</v>
      </c>
      <c r="O693" s="12">
        <v>-1.673</v>
      </c>
      <c r="P693" s="12">
        <v>14</v>
      </c>
      <c r="Q693" s="12">
        <v>14</v>
      </c>
      <c r="R693" s="12">
        <v>13</v>
      </c>
    </row>
    <row r="694" spans="1:18" ht="43" customHeight="1" x14ac:dyDescent="0.2">
      <c r="A694" s="5" t="s">
        <v>2915</v>
      </c>
      <c r="B694" s="6" t="s">
        <v>2916</v>
      </c>
      <c r="C694" s="5" t="s">
        <v>2917</v>
      </c>
      <c r="D694" s="5" t="s">
        <v>2917</v>
      </c>
      <c r="E694" s="5" t="s">
        <v>2918</v>
      </c>
      <c r="F694" s="5" t="s">
        <v>29</v>
      </c>
      <c r="G694" s="5" t="s">
        <v>158</v>
      </c>
      <c r="H694" s="5" t="s">
        <v>159</v>
      </c>
      <c r="I694" s="5" t="str">
        <f>HYPERLINK("http://www.contessa3c.it/","www.contessa3c.it")</f>
        <v>www.contessa3c.it</v>
      </c>
      <c r="J694" s="7">
        <v>929.16700000000003</v>
      </c>
      <c r="K694" s="7">
        <v>929.16700000000003</v>
      </c>
      <c r="L694" s="8">
        <v>861.76099999999997</v>
      </c>
      <c r="M694" s="7">
        <v>8.702</v>
      </c>
      <c r="N694" s="7">
        <v>8.702</v>
      </c>
      <c r="O694" s="7">
        <v>-13.254</v>
      </c>
      <c r="P694" s="7">
        <v>30</v>
      </c>
      <c r="Q694" s="7">
        <v>30</v>
      </c>
      <c r="R694" s="7">
        <v>33</v>
      </c>
    </row>
    <row r="695" spans="1:18" ht="17" customHeight="1" x14ac:dyDescent="0.2">
      <c r="A695" s="10" t="s">
        <v>2919</v>
      </c>
      <c r="B695" s="11" t="s">
        <v>2920</v>
      </c>
      <c r="C695" s="10" t="s">
        <v>2921</v>
      </c>
      <c r="D695" s="10" t="s">
        <v>2921</v>
      </c>
      <c r="E695" s="10" t="s">
        <v>2922</v>
      </c>
      <c r="F695" s="10" t="s">
        <v>72</v>
      </c>
      <c r="G695" s="10" t="s">
        <v>135</v>
      </c>
      <c r="H695" s="10" t="s">
        <v>31</v>
      </c>
      <c r="I695" s="10" t="str">
        <f>HYPERLINK("http://www.calzificiobiasco.it/","www.calzificiobiasco.it")</f>
        <v>www.calzificiobiasco.it</v>
      </c>
      <c r="J695" s="12">
        <v>916.00099999999998</v>
      </c>
      <c r="K695" s="12">
        <v>916.00099999999998</v>
      </c>
      <c r="L695" s="12">
        <v>861.26900000000001</v>
      </c>
      <c r="M695" s="12">
        <v>9.8260000000000005</v>
      </c>
      <c r="N695" s="12">
        <v>9.8260000000000005</v>
      </c>
      <c r="O695" s="12">
        <v>31.527999999999999</v>
      </c>
      <c r="P695" s="12">
        <v>8</v>
      </c>
      <c r="Q695" s="12">
        <v>8</v>
      </c>
      <c r="R695" s="12">
        <v>8</v>
      </c>
    </row>
    <row r="696" spans="1:18" ht="17" customHeight="1" x14ac:dyDescent="0.2">
      <c r="A696" s="5" t="s">
        <v>2923</v>
      </c>
      <c r="B696" s="6" t="s">
        <v>2924</v>
      </c>
      <c r="C696" s="5" t="s">
        <v>2925</v>
      </c>
      <c r="D696" s="5" t="s">
        <v>2925</v>
      </c>
      <c r="E696" s="5" t="s">
        <v>2926</v>
      </c>
      <c r="F696" s="5" t="s">
        <v>462</v>
      </c>
      <c r="G696" s="5" t="s">
        <v>224</v>
      </c>
      <c r="H696" s="5" t="s">
        <v>23</v>
      </c>
      <c r="I696" s="5" t="str">
        <f>HYPERLINK("http://www.poggianti.it/","www.poggianti.it")</f>
        <v>www.poggianti.it</v>
      </c>
      <c r="J696" s="7">
        <v>844.03200000000004</v>
      </c>
      <c r="K696" s="7">
        <v>844.03200000000004</v>
      </c>
      <c r="L696" s="8">
        <v>861.33900000000006</v>
      </c>
      <c r="M696" s="7">
        <v>5.899</v>
      </c>
      <c r="N696" s="7">
        <v>5.899</v>
      </c>
      <c r="O696" s="7">
        <v>11.412000000000001</v>
      </c>
      <c r="P696" s="9" t="s">
        <v>24</v>
      </c>
      <c r="Q696" s="9" t="s">
        <v>24</v>
      </c>
      <c r="R696" s="7">
        <v>15</v>
      </c>
    </row>
    <row r="697" spans="1:18" ht="17" customHeight="1" x14ac:dyDescent="0.2">
      <c r="A697" s="10" t="s">
        <v>2927</v>
      </c>
      <c r="B697" s="11" t="s">
        <v>2928</v>
      </c>
      <c r="C697" s="10" t="s">
        <v>2929</v>
      </c>
      <c r="D697" s="10" t="s">
        <v>2929</v>
      </c>
      <c r="E697" s="10" t="s">
        <v>2930</v>
      </c>
      <c r="F697" s="10" t="s">
        <v>21</v>
      </c>
      <c r="G697" s="10" t="s">
        <v>2931</v>
      </c>
      <c r="H697" s="10" t="s">
        <v>525</v>
      </c>
      <c r="I697" s="10" t="str">
        <f>HYPERLINK("http://www.francesco.it/","www.francesco.it")</f>
        <v>www.francesco.it</v>
      </c>
      <c r="J697" s="12">
        <v>873.53099999999995</v>
      </c>
      <c r="K697" s="12">
        <v>873.53099999999995</v>
      </c>
      <c r="L697" s="12">
        <v>860.75400000000002</v>
      </c>
      <c r="M697" s="12">
        <v>33.046999999999997</v>
      </c>
      <c r="N697" s="12">
        <v>33.046999999999997</v>
      </c>
      <c r="O697" s="12">
        <v>45.252000000000002</v>
      </c>
      <c r="P697" s="12">
        <v>5</v>
      </c>
      <c r="Q697" s="12">
        <v>5</v>
      </c>
      <c r="R697" s="12">
        <v>8</v>
      </c>
    </row>
    <row r="698" spans="1:18" ht="29.5" customHeight="1" x14ac:dyDescent="0.2">
      <c r="A698" s="5" t="s">
        <v>2932</v>
      </c>
      <c r="B698" s="6" t="s">
        <v>2933</v>
      </c>
      <c r="C698" s="5" t="s">
        <v>2934</v>
      </c>
      <c r="D698" s="5" t="s">
        <v>2935</v>
      </c>
      <c r="E698" s="5" t="s">
        <v>2936</v>
      </c>
      <c r="F698" s="5" t="s">
        <v>105</v>
      </c>
      <c r="G698" s="5" t="s">
        <v>211</v>
      </c>
      <c r="H698" s="5" t="s">
        <v>74</v>
      </c>
      <c r="I698" s="5" t="str">
        <f>HYPERLINK("http://pelletteriepalazzolesi.it/","pelletteriepalazzolesi.it")</f>
        <v>pelletteriepalazzolesi.it</v>
      </c>
      <c r="J698" s="7">
        <v>728.23699999999997</v>
      </c>
      <c r="K698" s="7">
        <v>728.23699999999997</v>
      </c>
      <c r="L698" s="8">
        <v>859.42899999999997</v>
      </c>
      <c r="M698" s="7">
        <v>11.287000000000001</v>
      </c>
      <c r="N698" s="7">
        <v>11.287000000000001</v>
      </c>
      <c r="O698" s="7">
        <v>-54.835000000000001</v>
      </c>
      <c r="P698" s="7">
        <v>15</v>
      </c>
      <c r="Q698" s="7">
        <v>15</v>
      </c>
      <c r="R698" s="7">
        <v>14</v>
      </c>
    </row>
    <row r="699" spans="1:18" ht="17" customHeight="1" x14ac:dyDescent="0.2">
      <c r="A699" s="10" t="s">
        <v>2937</v>
      </c>
      <c r="B699" s="11" t="s">
        <v>2938</v>
      </c>
      <c r="C699" s="10" t="s">
        <v>2939</v>
      </c>
      <c r="D699" s="10" t="s">
        <v>2939</v>
      </c>
      <c r="E699" s="10" t="s">
        <v>2940</v>
      </c>
      <c r="F699" s="10" t="s">
        <v>21</v>
      </c>
      <c r="G699" s="10" t="s">
        <v>94</v>
      </c>
      <c r="H699" s="10" t="s">
        <v>62</v>
      </c>
      <c r="I699" s="10" t="str">
        <f>HYPERLINK("http://www.perronecalzature.it/","www.perronecalzature.it")</f>
        <v>www.perronecalzature.it</v>
      </c>
      <c r="J699" s="12">
        <v>766.04100000000005</v>
      </c>
      <c r="K699" s="12">
        <v>766.04100000000005</v>
      </c>
      <c r="L699" s="12">
        <v>858.19600000000003</v>
      </c>
      <c r="M699" s="12">
        <v>8.4239999999999995</v>
      </c>
      <c r="N699" s="12">
        <v>8.4239999999999995</v>
      </c>
      <c r="O699" s="12">
        <v>29.35</v>
      </c>
      <c r="P699" s="13" t="s">
        <v>24</v>
      </c>
      <c r="Q699" s="13" t="s">
        <v>24</v>
      </c>
      <c r="R699" s="12">
        <v>14</v>
      </c>
    </row>
    <row r="700" spans="1:18" ht="17" customHeight="1" x14ac:dyDescent="0.2">
      <c r="A700" s="5" t="s">
        <v>2941</v>
      </c>
      <c r="B700" s="6" t="s">
        <v>2942</v>
      </c>
      <c r="C700" s="5" t="s">
        <v>2943</v>
      </c>
      <c r="D700" s="5" t="s">
        <v>2943</v>
      </c>
      <c r="E700" s="5" t="s">
        <v>2944</v>
      </c>
      <c r="F700" s="5" t="s">
        <v>114</v>
      </c>
      <c r="G700" s="5" t="s">
        <v>135</v>
      </c>
      <c r="H700" s="5" t="s">
        <v>31</v>
      </c>
      <c r="I700" s="5" t="str">
        <f>HYPERLINK("http://maamistore.com/","maamistore.com")</f>
        <v>maamistore.com</v>
      </c>
      <c r="J700" s="7">
        <v>918.08199999999999</v>
      </c>
      <c r="K700" s="7">
        <v>918.08199999999999</v>
      </c>
      <c r="L700" s="8">
        <v>857.84199999999998</v>
      </c>
      <c r="M700" s="7">
        <v>14.164999999999999</v>
      </c>
      <c r="N700" s="7">
        <v>14.164999999999999</v>
      </c>
      <c r="O700" s="7">
        <v>24.457999999999998</v>
      </c>
      <c r="P700" s="7">
        <v>6</v>
      </c>
      <c r="Q700" s="7">
        <v>6</v>
      </c>
      <c r="R700" s="7">
        <v>5</v>
      </c>
    </row>
    <row r="701" spans="1:18" ht="17" customHeight="1" x14ac:dyDescent="0.2">
      <c r="A701" s="10" t="s">
        <v>2945</v>
      </c>
      <c r="B701" s="11" t="s">
        <v>2946</v>
      </c>
      <c r="C701" s="10" t="s">
        <v>2947</v>
      </c>
      <c r="D701" s="10" t="s">
        <v>2947</v>
      </c>
      <c r="E701" s="10" t="s">
        <v>2948</v>
      </c>
      <c r="F701" s="10" t="s">
        <v>105</v>
      </c>
      <c r="G701" s="10" t="s">
        <v>49</v>
      </c>
      <c r="H701" s="10" t="s">
        <v>23</v>
      </c>
      <c r="I701" s="10" t="str">
        <f>HYPERLINK("http://spallinificiotoscano.com/","spallinificiotoscano.com")</f>
        <v>spallinificiotoscano.com</v>
      </c>
      <c r="J701" s="12">
        <v>747.88900000000001</v>
      </c>
      <c r="K701" s="12">
        <v>747.88900000000001</v>
      </c>
      <c r="L701" s="12">
        <v>857.26400000000001</v>
      </c>
      <c r="M701" s="12">
        <v>61.55</v>
      </c>
      <c r="N701" s="12">
        <v>61.55</v>
      </c>
      <c r="O701" s="12">
        <v>77.45</v>
      </c>
      <c r="P701" s="12">
        <v>3</v>
      </c>
      <c r="Q701" s="12">
        <v>3</v>
      </c>
      <c r="R701" s="12">
        <v>5</v>
      </c>
    </row>
    <row r="702" spans="1:18" ht="17" customHeight="1" x14ac:dyDescent="0.2">
      <c r="A702" s="5" t="s">
        <v>2949</v>
      </c>
      <c r="B702" s="6" t="s">
        <v>2950</v>
      </c>
      <c r="C702" s="5" t="s">
        <v>2951</v>
      </c>
      <c r="D702" s="5" t="s">
        <v>2951</v>
      </c>
      <c r="E702" s="5" t="s">
        <v>2952</v>
      </c>
      <c r="F702" s="5" t="s">
        <v>105</v>
      </c>
      <c r="G702" s="5" t="s">
        <v>298</v>
      </c>
      <c r="H702" s="5" t="s">
        <v>299</v>
      </c>
      <c r="I702" s="5" t="str">
        <f>HYPERLINK("http://www.simonab.it/","www.simonab.it")</f>
        <v>www.simonab.it</v>
      </c>
      <c r="J702" s="7">
        <v>1060.463</v>
      </c>
      <c r="K702" s="7">
        <v>1060.463</v>
      </c>
      <c r="L702" s="8">
        <v>856.54100000000005</v>
      </c>
      <c r="M702" s="7">
        <v>2.198</v>
      </c>
      <c r="N702" s="7">
        <v>2.198</v>
      </c>
      <c r="O702" s="7">
        <v>21.358000000000001</v>
      </c>
      <c r="P702" s="7">
        <v>6</v>
      </c>
      <c r="Q702" s="7">
        <v>6</v>
      </c>
      <c r="R702" s="7">
        <v>6</v>
      </c>
    </row>
    <row r="703" spans="1:18" ht="17" customHeight="1" x14ac:dyDescent="0.2">
      <c r="A703" s="10" t="s">
        <v>2953</v>
      </c>
      <c r="B703" s="11" t="s">
        <v>2954</v>
      </c>
      <c r="C703" s="10" t="s">
        <v>2955</v>
      </c>
      <c r="D703" s="10" t="s">
        <v>2955</v>
      </c>
      <c r="E703" s="10" t="s">
        <v>2956</v>
      </c>
      <c r="F703" s="10" t="s">
        <v>21</v>
      </c>
      <c r="G703" s="10" t="s">
        <v>2957</v>
      </c>
      <c r="H703" s="10" t="s">
        <v>121</v>
      </c>
      <c r="I703" s="10" t="str">
        <f>HYPERLINK("http://www.cesarebaroli.it/","www.cesarebaroli.it")</f>
        <v>www.cesarebaroli.it</v>
      </c>
      <c r="J703" s="12">
        <v>855.57899999999995</v>
      </c>
      <c r="K703" s="12">
        <v>855.57899999999995</v>
      </c>
      <c r="L703" s="12">
        <v>856.255</v>
      </c>
      <c r="M703" s="12">
        <v>62.036999999999999</v>
      </c>
      <c r="N703" s="12">
        <v>62.036999999999999</v>
      </c>
      <c r="O703" s="12">
        <v>66.105000000000004</v>
      </c>
      <c r="P703" s="12">
        <v>7</v>
      </c>
      <c r="Q703" s="12">
        <v>7</v>
      </c>
      <c r="R703" s="12">
        <v>13</v>
      </c>
    </row>
    <row r="704" spans="1:18" ht="17" customHeight="1" x14ac:dyDescent="0.2">
      <c r="A704" s="5" t="s">
        <v>2958</v>
      </c>
      <c r="B704" s="6" t="s">
        <v>2959</v>
      </c>
      <c r="C704" s="5" t="s">
        <v>2960</v>
      </c>
      <c r="D704" s="5" t="s">
        <v>2960</v>
      </c>
      <c r="E704" s="5" t="s">
        <v>2961</v>
      </c>
      <c r="F704" s="5" t="s">
        <v>114</v>
      </c>
      <c r="G704" s="5" t="s">
        <v>274</v>
      </c>
      <c r="H704" s="5" t="s">
        <v>31</v>
      </c>
      <c r="I704" s="5" t="str">
        <f>HYPERLINK("http://www.italian-brands.it/","www.italian-brands.it")</f>
        <v>www.italian-brands.it</v>
      </c>
      <c r="J704" s="7">
        <v>1033.6980000000001</v>
      </c>
      <c r="K704" s="7">
        <v>1033.6980000000001</v>
      </c>
      <c r="L704" s="8">
        <v>853.76099999999997</v>
      </c>
      <c r="M704" s="7">
        <v>-178.01499999999999</v>
      </c>
      <c r="N704" s="7">
        <v>-178.01499999999999</v>
      </c>
      <c r="O704" s="7">
        <v>-188.79499999999999</v>
      </c>
      <c r="P704" s="7">
        <v>7</v>
      </c>
      <c r="Q704" s="7">
        <v>7</v>
      </c>
      <c r="R704" s="7">
        <v>13</v>
      </c>
    </row>
    <row r="705" spans="1:18" ht="17" customHeight="1" x14ac:dyDescent="0.2">
      <c r="A705" s="10" t="s">
        <v>2962</v>
      </c>
      <c r="B705" s="11" t="s">
        <v>2963</v>
      </c>
      <c r="C705" s="10" t="s">
        <v>2964</v>
      </c>
      <c r="D705" s="10" t="s">
        <v>2964</v>
      </c>
      <c r="E705" s="10" t="s">
        <v>2965</v>
      </c>
      <c r="F705" s="10" t="s">
        <v>54</v>
      </c>
      <c r="G705" s="10" t="s">
        <v>79</v>
      </c>
      <c r="H705" s="10" t="s">
        <v>56</v>
      </c>
      <c r="I705" s="10" t="str">
        <f>HYPERLINK("http://www.suolificiogalmsrl.it/","www.suolificiogalmsrl.it")</f>
        <v>www.suolificiogalmsrl.it</v>
      </c>
      <c r="J705" s="12">
        <v>986.22500000000002</v>
      </c>
      <c r="K705" s="12">
        <v>986.22500000000002</v>
      </c>
      <c r="L705" s="12">
        <v>852.71400000000006</v>
      </c>
      <c r="M705" s="12">
        <v>-0.45900000000000002</v>
      </c>
      <c r="N705" s="12">
        <v>-0.45900000000000002</v>
      </c>
      <c r="O705" s="12">
        <v>64.162000000000006</v>
      </c>
      <c r="P705" s="12">
        <v>4</v>
      </c>
      <c r="Q705" s="12">
        <v>4</v>
      </c>
      <c r="R705" s="12">
        <v>5</v>
      </c>
    </row>
    <row r="706" spans="1:18" ht="17" customHeight="1" x14ac:dyDescent="0.2">
      <c r="A706" s="5" t="s">
        <v>2966</v>
      </c>
      <c r="B706" s="6" t="s">
        <v>2967</v>
      </c>
      <c r="C706" s="5" t="s">
        <v>2968</v>
      </c>
      <c r="D706" s="5" t="s">
        <v>2968</v>
      </c>
      <c r="E706" s="5" t="s">
        <v>2969</v>
      </c>
      <c r="F706" s="5" t="s">
        <v>21</v>
      </c>
      <c r="G706" s="5" t="s">
        <v>79</v>
      </c>
      <c r="H706" s="5" t="s">
        <v>56</v>
      </c>
      <c r="I706" s="5" t="str">
        <f>HYPERLINK("http://www.acciarrinazzareno.it/","www.acciarrinazzareno.it")</f>
        <v>www.acciarrinazzareno.it</v>
      </c>
      <c r="J706" s="7">
        <v>1078.347</v>
      </c>
      <c r="K706" s="7">
        <v>1078.347</v>
      </c>
      <c r="L706" s="8">
        <v>852.61</v>
      </c>
      <c r="M706" s="7">
        <v>2.3660000000000001</v>
      </c>
      <c r="N706" s="7">
        <v>2.3660000000000001</v>
      </c>
      <c r="O706" s="7">
        <v>14.712</v>
      </c>
      <c r="P706" s="7">
        <v>8</v>
      </c>
      <c r="Q706" s="7">
        <v>8</v>
      </c>
      <c r="R706" s="7">
        <v>8</v>
      </c>
    </row>
    <row r="707" spans="1:18" ht="17" customHeight="1" x14ac:dyDescent="0.2">
      <c r="A707" s="10" t="s">
        <v>2970</v>
      </c>
      <c r="B707" s="11" t="s">
        <v>2971</v>
      </c>
      <c r="C707" s="10" t="s">
        <v>2972</v>
      </c>
      <c r="D707" s="10" t="s">
        <v>2972</v>
      </c>
      <c r="E707" s="10" t="s">
        <v>2973</v>
      </c>
      <c r="F707" s="10" t="s">
        <v>181</v>
      </c>
      <c r="G707" s="10" t="s">
        <v>298</v>
      </c>
      <c r="H707" s="10" t="s">
        <v>299</v>
      </c>
      <c r="I707" s="10" t="str">
        <f>HYPERLINK("http://www.confezionidebora.com/","www.confezionidebora.com")</f>
        <v>www.confezionidebora.com</v>
      </c>
      <c r="J707" s="12">
        <v>824.45</v>
      </c>
      <c r="K707" s="12">
        <v>824.45</v>
      </c>
      <c r="L707" s="12">
        <v>848.976</v>
      </c>
      <c r="M707" s="12">
        <v>72.989000000000004</v>
      </c>
      <c r="N707" s="12">
        <v>72.989000000000004</v>
      </c>
      <c r="O707" s="12">
        <v>21.747</v>
      </c>
      <c r="P707" s="12">
        <v>4</v>
      </c>
      <c r="Q707" s="12">
        <v>4</v>
      </c>
      <c r="R707" s="12">
        <v>4</v>
      </c>
    </row>
    <row r="708" spans="1:18" ht="17" customHeight="1" x14ac:dyDescent="0.2">
      <c r="A708" s="5" t="s">
        <v>2974</v>
      </c>
      <c r="B708" s="6" t="s">
        <v>2975</v>
      </c>
      <c r="C708" s="5" t="s">
        <v>2976</v>
      </c>
      <c r="D708" s="5" t="s">
        <v>2976</v>
      </c>
      <c r="E708" s="5" t="s">
        <v>2977</v>
      </c>
      <c r="F708" s="5" t="s">
        <v>482</v>
      </c>
      <c r="G708" s="5" t="s">
        <v>437</v>
      </c>
      <c r="H708" s="5" t="s">
        <v>407</v>
      </c>
      <c r="I708" s="5" t="str">
        <f>HYPERLINK("http://www.gallipelletterie.it/","www.gallipelletterie.it")</f>
        <v>www.gallipelletterie.it</v>
      </c>
      <c r="J708" s="7">
        <v>857.30499999999995</v>
      </c>
      <c r="K708" s="7">
        <v>857.30499999999995</v>
      </c>
      <c r="L708" s="8">
        <v>848.68299999999999</v>
      </c>
      <c r="M708" s="7">
        <v>14.706</v>
      </c>
      <c r="N708" s="7">
        <v>14.706</v>
      </c>
      <c r="O708" s="7">
        <v>-206.04900000000001</v>
      </c>
      <c r="P708" s="7">
        <v>6</v>
      </c>
      <c r="Q708" s="7">
        <v>6</v>
      </c>
      <c r="R708" s="7">
        <v>7</v>
      </c>
    </row>
    <row r="709" spans="1:18" ht="17" customHeight="1" x14ac:dyDescent="0.2">
      <c r="A709" s="10" t="s">
        <v>2978</v>
      </c>
      <c r="B709" s="11" t="s">
        <v>1561</v>
      </c>
      <c r="C709" s="10" t="s">
        <v>2979</v>
      </c>
      <c r="D709" s="10" t="s">
        <v>2979</v>
      </c>
      <c r="E709" s="10" t="s">
        <v>2980</v>
      </c>
      <c r="F709" s="10" t="s">
        <v>462</v>
      </c>
      <c r="G709" s="10" t="s">
        <v>61</v>
      </c>
      <c r="H709" s="10" t="s">
        <v>62</v>
      </c>
      <c r="I709" s="10" t="str">
        <f>HYPERLINK("http://www.clara-intimo.it/","www.clara-intimo.it")</f>
        <v>www.clara-intimo.it</v>
      </c>
      <c r="J709" s="12">
        <v>984.18200000000002</v>
      </c>
      <c r="K709" s="12">
        <v>984.18200000000002</v>
      </c>
      <c r="L709" s="12">
        <v>848.64300000000003</v>
      </c>
      <c r="M709" s="12">
        <v>15.055</v>
      </c>
      <c r="N709" s="12">
        <v>15.055</v>
      </c>
      <c r="O709" s="12">
        <v>-144.29599999999999</v>
      </c>
      <c r="P709" s="13" t="s">
        <v>24</v>
      </c>
      <c r="Q709" s="13" t="s">
        <v>24</v>
      </c>
      <c r="R709" s="12">
        <v>4</v>
      </c>
    </row>
    <row r="710" spans="1:18" ht="17" customHeight="1" x14ac:dyDescent="0.2">
      <c r="A710" s="5" t="s">
        <v>2981</v>
      </c>
      <c r="B710" s="6" t="s">
        <v>2982</v>
      </c>
      <c r="C710" s="5" t="s">
        <v>2983</v>
      </c>
      <c r="D710" s="5" t="s">
        <v>2983</v>
      </c>
      <c r="E710" s="5" t="s">
        <v>2984</v>
      </c>
      <c r="F710" s="5" t="s">
        <v>105</v>
      </c>
      <c r="G710" s="5" t="s">
        <v>552</v>
      </c>
      <c r="H710" s="5" t="s">
        <v>74</v>
      </c>
      <c r="I710" s="5" t="str">
        <f>HYPERLINK("http://www.frajor.it/","www.frajor.it")</f>
        <v>www.frajor.it</v>
      </c>
      <c r="J710" s="7">
        <v>1176.279</v>
      </c>
      <c r="K710" s="7">
        <v>1176.279</v>
      </c>
      <c r="L710" s="8">
        <v>847.30899999999997</v>
      </c>
      <c r="M710" s="7">
        <v>319.30399999999997</v>
      </c>
      <c r="N710" s="7">
        <v>319.30399999999997</v>
      </c>
      <c r="O710" s="7">
        <v>200.52</v>
      </c>
      <c r="P710" s="7">
        <v>19</v>
      </c>
      <c r="Q710" s="7">
        <v>19</v>
      </c>
      <c r="R710" s="7">
        <v>19</v>
      </c>
    </row>
    <row r="711" spans="1:18" ht="17" customHeight="1" x14ac:dyDescent="0.2">
      <c r="A711" s="10" t="s">
        <v>2985</v>
      </c>
      <c r="B711" s="11" t="s">
        <v>2986</v>
      </c>
      <c r="C711" s="10" t="s">
        <v>2987</v>
      </c>
      <c r="D711" s="10" t="s">
        <v>2987</v>
      </c>
      <c r="E711" s="10" t="s">
        <v>2988</v>
      </c>
      <c r="F711" s="10" t="s">
        <v>482</v>
      </c>
      <c r="G711" s="10" t="s">
        <v>49</v>
      </c>
      <c r="H711" s="10" t="s">
        <v>23</v>
      </c>
      <c r="I711" s="10" t="str">
        <f>HYPERLINK("http://www.rossidavinci.it/","www.rossidavinci.it")</f>
        <v>www.rossidavinci.it</v>
      </c>
      <c r="J711" s="12">
        <v>761.82799999999997</v>
      </c>
      <c r="K711" s="12">
        <v>761.82799999999997</v>
      </c>
      <c r="L711" s="12">
        <v>847.01</v>
      </c>
      <c r="M711" s="12">
        <v>50.192999999999998</v>
      </c>
      <c r="N711" s="12">
        <v>50.192999999999998</v>
      </c>
      <c r="O711" s="12">
        <v>35.874000000000002</v>
      </c>
      <c r="P711" s="12">
        <v>7</v>
      </c>
      <c r="Q711" s="12">
        <v>7</v>
      </c>
      <c r="R711" s="12">
        <v>7</v>
      </c>
    </row>
    <row r="712" spans="1:18" ht="17" customHeight="1" x14ac:dyDescent="0.2">
      <c r="A712" s="5" t="s">
        <v>2989</v>
      </c>
      <c r="B712" s="6" t="s">
        <v>2990</v>
      </c>
      <c r="C712" s="5" t="s">
        <v>2991</v>
      </c>
      <c r="D712" s="5" t="s">
        <v>2991</v>
      </c>
      <c r="E712" s="5" t="s">
        <v>2992</v>
      </c>
      <c r="F712" s="5" t="s">
        <v>72</v>
      </c>
      <c r="G712" s="5" t="s">
        <v>293</v>
      </c>
      <c r="H712" s="5" t="s">
        <v>74</v>
      </c>
      <c r="I712" s="5" t="str">
        <f>HYPERLINK("http://www.3emmme.com/","www.3emmme.com")</f>
        <v>www.3emmme.com</v>
      </c>
      <c r="J712" s="7">
        <v>582.41600000000005</v>
      </c>
      <c r="K712" s="7">
        <v>582.41600000000005</v>
      </c>
      <c r="L712" s="8">
        <v>846.02200000000005</v>
      </c>
      <c r="M712" s="7">
        <v>-17.602</v>
      </c>
      <c r="N712" s="7">
        <v>-17.602</v>
      </c>
      <c r="O712" s="7">
        <v>4.9459999999999997</v>
      </c>
      <c r="P712" s="7">
        <v>7</v>
      </c>
      <c r="Q712" s="7">
        <v>7</v>
      </c>
      <c r="R712" s="7">
        <v>7</v>
      </c>
    </row>
    <row r="713" spans="1:18" ht="29.5" customHeight="1" x14ac:dyDescent="0.2">
      <c r="A713" s="10" t="s">
        <v>2993</v>
      </c>
      <c r="B713" s="11" t="s">
        <v>2994</v>
      </c>
      <c r="C713" s="10" t="s">
        <v>2995</v>
      </c>
      <c r="D713" s="10" t="s">
        <v>2995</v>
      </c>
      <c r="E713" s="10" t="s">
        <v>2996</v>
      </c>
      <c r="F713" s="10" t="s">
        <v>41</v>
      </c>
      <c r="G713" s="10" t="s">
        <v>120</v>
      </c>
      <c r="H713" s="10" t="s">
        <v>121</v>
      </c>
      <c r="I713" s="10" t="str">
        <f>HYPERLINK("http://www.conceriapieroni.com/","www.conceriapieroni.com")</f>
        <v>www.conceriapieroni.com</v>
      </c>
      <c r="J713" s="12">
        <v>1104.9770000000001</v>
      </c>
      <c r="K713" s="12">
        <v>1104.9770000000001</v>
      </c>
      <c r="L713" s="12">
        <v>845.77599999999995</v>
      </c>
      <c r="M713" s="12">
        <v>2.1480000000000001</v>
      </c>
      <c r="N713" s="12">
        <v>2.1480000000000001</v>
      </c>
      <c r="O713" s="12">
        <v>8.0879999999999992</v>
      </c>
      <c r="P713" s="13" t="s">
        <v>24</v>
      </c>
      <c r="Q713" s="13" t="s">
        <v>24</v>
      </c>
      <c r="R713" s="12">
        <v>5</v>
      </c>
    </row>
    <row r="714" spans="1:18" ht="17" customHeight="1" x14ac:dyDescent="0.2">
      <c r="A714" s="5" t="s">
        <v>2997</v>
      </c>
      <c r="B714" s="6" t="s">
        <v>2998</v>
      </c>
      <c r="C714" s="5" t="s">
        <v>2999</v>
      </c>
      <c r="D714" s="5" t="s">
        <v>2999</v>
      </c>
      <c r="E714" s="5" t="s">
        <v>3000</v>
      </c>
      <c r="F714" s="5" t="s">
        <v>105</v>
      </c>
      <c r="G714" s="5" t="s">
        <v>49</v>
      </c>
      <c r="H714" s="5" t="s">
        <v>23</v>
      </c>
      <c r="I714" s="5" t="str">
        <f>HYPERLINK("http://www.sevenfold.it/","www.sevenfold.it")</f>
        <v>www.sevenfold.it</v>
      </c>
      <c r="J714" s="7">
        <v>885.41700000000003</v>
      </c>
      <c r="K714" s="7">
        <v>885.41700000000003</v>
      </c>
      <c r="L714" s="8">
        <v>845.10699999999997</v>
      </c>
      <c r="M714" s="7">
        <v>8.3719999999999999</v>
      </c>
      <c r="N714" s="7">
        <v>8.3719999999999999</v>
      </c>
      <c r="O714" s="7">
        <v>19.395</v>
      </c>
      <c r="P714" s="7">
        <v>9</v>
      </c>
      <c r="Q714" s="7">
        <v>9</v>
      </c>
      <c r="R714" s="7">
        <v>10</v>
      </c>
    </row>
    <row r="715" spans="1:18" ht="17" customHeight="1" x14ac:dyDescent="0.2">
      <c r="A715" s="10" t="s">
        <v>3001</v>
      </c>
      <c r="B715" s="11" t="s">
        <v>3002</v>
      </c>
      <c r="C715" s="10" t="s">
        <v>3003</v>
      </c>
      <c r="D715" s="10" t="s">
        <v>3003</v>
      </c>
      <c r="E715" s="10" t="s">
        <v>3004</v>
      </c>
      <c r="F715" s="10" t="s">
        <v>54</v>
      </c>
      <c r="G715" s="10" t="s">
        <v>158</v>
      </c>
      <c r="H715" s="10" t="s">
        <v>159</v>
      </c>
      <c r="I715" s="10" t="str">
        <f>HYPERLINK("http://www.corkline.net/","www.corkline.net")</f>
        <v>www.corkline.net</v>
      </c>
      <c r="J715" s="12">
        <v>1010.837</v>
      </c>
      <c r="K715" s="12">
        <v>1010.837</v>
      </c>
      <c r="L715" s="12">
        <v>844.48099999999999</v>
      </c>
      <c r="M715" s="12">
        <v>16.369</v>
      </c>
      <c r="N715" s="12">
        <v>16.369</v>
      </c>
      <c r="O715" s="12">
        <v>10.685</v>
      </c>
      <c r="P715" s="13" t="s">
        <v>24</v>
      </c>
      <c r="Q715" s="13" t="s">
        <v>24</v>
      </c>
      <c r="R715" s="12">
        <v>6</v>
      </c>
    </row>
    <row r="716" spans="1:18" ht="17" customHeight="1" x14ac:dyDescent="0.2">
      <c r="A716" s="5" t="s">
        <v>3005</v>
      </c>
      <c r="B716" s="6" t="s">
        <v>3006</v>
      </c>
      <c r="C716" s="5" t="s">
        <v>3007</v>
      </c>
      <c r="D716" s="5" t="s">
        <v>3007</v>
      </c>
      <c r="E716" s="5" t="s">
        <v>3008</v>
      </c>
      <c r="F716" s="5" t="s">
        <v>41</v>
      </c>
      <c r="G716" s="5" t="s">
        <v>42</v>
      </c>
      <c r="H716" s="5" t="s">
        <v>43</v>
      </c>
      <c r="I716" s="5" t="str">
        <f>HYPERLINK("http://euronarpell.com/","euronarpell.com")</f>
        <v>euronarpell.com</v>
      </c>
      <c r="J716" s="7">
        <v>1020.816</v>
      </c>
      <c r="K716" s="7">
        <v>1020.816</v>
      </c>
      <c r="L716" s="8">
        <v>844.25099999999998</v>
      </c>
      <c r="M716" s="7">
        <v>5.4550000000000001</v>
      </c>
      <c r="N716" s="7">
        <v>5.4550000000000001</v>
      </c>
      <c r="O716" s="7">
        <v>11.194000000000001</v>
      </c>
      <c r="P716" s="7">
        <v>3</v>
      </c>
      <c r="Q716" s="7">
        <v>3</v>
      </c>
      <c r="R716" s="7">
        <v>4</v>
      </c>
    </row>
    <row r="717" spans="1:18" ht="17" customHeight="1" x14ac:dyDescent="0.2">
      <c r="A717" s="10" t="s">
        <v>3009</v>
      </c>
      <c r="B717" s="11" t="s">
        <v>3010</v>
      </c>
      <c r="C717" s="10" t="s">
        <v>3011</v>
      </c>
      <c r="D717" s="10" t="s">
        <v>3011</v>
      </c>
      <c r="E717" s="10" t="s">
        <v>3012</v>
      </c>
      <c r="F717" s="10" t="s">
        <v>48</v>
      </c>
      <c r="G717" s="10" t="s">
        <v>115</v>
      </c>
      <c r="H717" s="10" t="s">
        <v>43</v>
      </c>
      <c r="I717" s="10" t="str">
        <f>HYPERLINK("http://www.piheritalia.it/","www.piheritalia.it")</f>
        <v>www.piheritalia.it</v>
      </c>
      <c r="J717" s="12">
        <v>858.92399999999998</v>
      </c>
      <c r="K717" s="12">
        <v>858.92399999999998</v>
      </c>
      <c r="L717" s="12">
        <v>844.19500000000005</v>
      </c>
      <c r="M717" s="12">
        <v>13.721</v>
      </c>
      <c r="N717" s="12">
        <v>13.721</v>
      </c>
      <c r="O717" s="12">
        <v>26.937999999999999</v>
      </c>
      <c r="P717" s="12">
        <v>3</v>
      </c>
      <c r="Q717" s="12">
        <v>3</v>
      </c>
      <c r="R717" s="12">
        <v>3</v>
      </c>
    </row>
    <row r="718" spans="1:18" ht="17" customHeight="1" x14ac:dyDescent="0.2">
      <c r="A718" s="5" t="s">
        <v>3013</v>
      </c>
      <c r="B718" s="6" t="s">
        <v>3014</v>
      </c>
      <c r="C718" s="5" t="s">
        <v>3015</v>
      </c>
      <c r="D718" s="5" t="s">
        <v>3015</v>
      </c>
      <c r="E718" s="5" t="s">
        <v>3016</v>
      </c>
      <c r="F718" s="5" t="s">
        <v>181</v>
      </c>
      <c r="G718" s="5" t="s">
        <v>234</v>
      </c>
      <c r="H718" s="5" t="s">
        <v>23</v>
      </c>
      <c r="I718" s="5" t="str">
        <f>HYPERLINK("http://www.maglificioesline.it/","http://www.maglificioesline.it")</f>
        <v>http://www.maglificioesline.it</v>
      </c>
      <c r="J718" s="7">
        <v>1005.995</v>
      </c>
      <c r="K718" s="7">
        <v>1005.995</v>
      </c>
      <c r="L718" s="8">
        <v>843.04100000000005</v>
      </c>
      <c r="M718" s="7">
        <v>1.631</v>
      </c>
      <c r="N718" s="7">
        <v>1.631</v>
      </c>
      <c r="O718" s="7">
        <v>4.5410000000000004</v>
      </c>
      <c r="P718" s="7">
        <v>4</v>
      </c>
      <c r="Q718" s="7">
        <v>4</v>
      </c>
      <c r="R718" s="7">
        <v>8</v>
      </c>
    </row>
    <row r="719" spans="1:18" ht="17" customHeight="1" x14ac:dyDescent="0.2">
      <c r="A719" s="10" t="s">
        <v>3017</v>
      </c>
      <c r="B719" s="11" t="s">
        <v>3018</v>
      </c>
      <c r="C719" s="10" t="s">
        <v>3019</v>
      </c>
      <c r="D719" s="10" t="s">
        <v>3019</v>
      </c>
      <c r="E719" s="10" t="s">
        <v>3020</v>
      </c>
      <c r="F719" s="10" t="s">
        <v>48</v>
      </c>
      <c r="G719" s="10" t="s">
        <v>224</v>
      </c>
      <c r="H719" s="10" t="s">
        <v>23</v>
      </c>
      <c r="I719" s="10" t="str">
        <f>HYPERLINK("http://www.carastyle.it/","www.carastyle.it")</f>
        <v>www.carastyle.it</v>
      </c>
      <c r="J719" s="12">
        <v>713.68100000000004</v>
      </c>
      <c r="K719" s="12">
        <v>713.68100000000004</v>
      </c>
      <c r="L719" s="12">
        <v>842.92700000000002</v>
      </c>
      <c r="M719" s="12">
        <v>-58.216000000000001</v>
      </c>
      <c r="N719" s="12">
        <v>-58.216000000000001</v>
      </c>
      <c r="O719" s="12">
        <v>10.286</v>
      </c>
      <c r="P719" s="12">
        <v>11</v>
      </c>
      <c r="Q719" s="12">
        <v>11</v>
      </c>
      <c r="R719" s="12">
        <v>11</v>
      </c>
    </row>
    <row r="720" spans="1:18" ht="17" customHeight="1" x14ac:dyDescent="0.2">
      <c r="A720" s="5" t="s">
        <v>3021</v>
      </c>
      <c r="B720" s="6" t="s">
        <v>3022</v>
      </c>
      <c r="C720" s="5" t="s">
        <v>3023</v>
      </c>
      <c r="D720" s="5" t="s">
        <v>3023</v>
      </c>
      <c r="E720" s="5" t="s">
        <v>3024</v>
      </c>
      <c r="F720" s="5" t="s">
        <v>99</v>
      </c>
      <c r="G720" s="5" t="s">
        <v>42</v>
      </c>
      <c r="H720" s="5" t="s">
        <v>43</v>
      </c>
      <c r="I720" s="5" t="str">
        <f>HYPERLINK("http://www.arpel.it/","www.arpel.it")</f>
        <v>www.arpel.it</v>
      </c>
      <c r="J720" s="7">
        <v>873.25300000000004</v>
      </c>
      <c r="K720" s="7">
        <v>873.25300000000004</v>
      </c>
      <c r="L720" s="8">
        <v>842.38599999999997</v>
      </c>
      <c r="M720" s="7">
        <v>19.652000000000001</v>
      </c>
      <c r="N720" s="7">
        <v>19.652000000000001</v>
      </c>
      <c r="O720" s="7">
        <v>-29.183</v>
      </c>
      <c r="P720" s="7">
        <v>6</v>
      </c>
      <c r="Q720" s="7">
        <v>6</v>
      </c>
      <c r="R720" s="7">
        <v>5</v>
      </c>
    </row>
    <row r="721" spans="1:18" ht="17" customHeight="1" x14ac:dyDescent="0.2">
      <c r="A721" s="10" t="s">
        <v>3025</v>
      </c>
      <c r="B721" s="11" t="s">
        <v>3026</v>
      </c>
      <c r="C721" s="10" t="s">
        <v>3027</v>
      </c>
      <c r="D721" s="10" t="s">
        <v>3027</v>
      </c>
      <c r="E721" s="10" t="s">
        <v>3028</v>
      </c>
      <c r="F721" s="10" t="s">
        <v>462</v>
      </c>
      <c r="G721" s="10" t="s">
        <v>274</v>
      </c>
      <c r="H721" s="10" t="s">
        <v>31</v>
      </c>
      <c r="I721" s="10" t="str">
        <f>HYPERLINK("http://www.acquadicocco.com/","www.acquadicocco.com")</f>
        <v>www.acquadicocco.com</v>
      </c>
      <c r="J721" s="12">
        <v>1267.7349999999999</v>
      </c>
      <c r="K721" s="12">
        <v>1267.7349999999999</v>
      </c>
      <c r="L721" s="12">
        <v>842.33399999999995</v>
      </c>
      <c r="M721" s="12">
        <v>-356.86599999999999</v>
      </c>
      <c r="N721" s="12">
        <v>-356.86599999999999</v>
      </c>
      <c r="O721" s="12">
        <v>-1.302</v>
      </c>
      <c r="P721" s="13" t="s">
        <v>24</v>
      </c>
      <c r="Q721" s="13" t="s">
        <v>24</v>
      </c>
      <c r="R721" s="12">
        <v>5</v>
      </c>
    </row>
    <row r="722" spans="1:18" ht="17" customHeight="1" x14ac:dyDescent="0.2">
      <c r="A722" s="5" t="s">
        <v>3029</v>
      </c>
      <c r="B722" s="6" t="s">
        <v>3030</v>
      </c>
      <c r="C722" s="5" t="s">
        <v>3031</v>
      </c>
      <c r="D722" s="5" t="s">
        <v>3031</v>
      </c>
      <c r="E722" s="5" t="s">
        <v>3032</v>
      </c>
      <c r="F722" s="5" t="s">
        <v>149</v>
      </c>
      <c r="G722" s="5" t="s">
        <v>140</v>
      </c>
      <c r="H722" s="5" t="s">
        <v>43</v>
      </c>
      <c r="I722" s="5" t="str">
        <f>HYPERLINK("http://www.efremsportline.com/","www.efremsportline.com")</f>
        <v>www.efremsportline.com</v>
      </c>
      <c r="J722" s="7">
        <v>748.15599999999995</v>
      </c>
      <c r="K722" s="7">
        <v>748.15599999999995</v>
      </c>
      <c r="L722" s="8">
        <v>841.66200000000003</v>
      </c>
      <c r="M722" s="7">
        <v>12.304</v>
      </c>
      <c r="N722" s="7">
        <v>12.304</v>
      </c>
      <c r="O722" s="7">
        <v>15.654</v>
      </c>
      <c r="P722" s="7">
        <v>5</v>
      </c>
      <c r="Q722" s="7">
        <v>5</v>
      </c>
      <c r="R722" s="7">
        <v>5</v>
      </c>
    </row>
    <row r="723" spans="1:18" ht="17" customHeight="1" x14ac:dyDescent="0.2">
      <c r="A723" s="10" t="s">
        <v>3033</v>
      </c>
      <c r="B723" s="11" t="s">
        <v>3034</v>
      </c>
      <c r="C723" s="10" t="s">
        <v>3035</v>
      </c>
      <c r="D723" s="10" t="s">
        <v>3035</v>
      </c>
      <c r="E723" s="10" t="s">
        <v>3036</v>
      </c>
      <c r="F723" s="10" t="s">
        <v>114</v>
      </c>
      <c r="G723" s="10" t="s">
        <v>547</v>
      </c>
      <c r="H723" s="10" t="s">
        <v>299</v>
      </c>
      <c r="I723" s="10" t="str">
        <f>HYPERLINK("http://rame.eu/","rame.eu")</f>
        <v>rame.eu</v>
      </c>
      <c r="J723" s="12">
        <v>928.12800000000004</v>
      </c>
      <c r="K723" s="12">
        <v>928.12800000000004</v>
      </c>
      <c r="L723" s="12">
        <v>840.93399999999997</v>
      </c>
      <c r="M723" s="12">
        <v>0.58099999999999996</v>
      </c>
      <c r="N723" s="12">
        <v>0.58099999999999996</v>
      </c>
      <c r="O723" s="12">
        <v>37.207999999999998</v>
      </c>
      <c r="P723" s="13" t="s">
        <v>24</v>
      </c>
      <c r="Q723" s="13" t="s">
        <v>24</v>
      </c>
      <c r="R723" s="12">
        <v>4</v>
      </c>
    </row>
    <row r="724" spans="1:18" ht="17" customHeight="1" x14ac:dyDescent="0.2">
      <c r="A724" s="5" t="s">
        <v>3037</v>
      </c>
      <c r="B724" s="6" t="s">
        <v>3038</v>
      </c>
      <c r="C724" s="5" t="s">
        <v>3039</v>
      </c>
      <c r="D724" s="5" t="s">
        <v>3039</v>
      </c>
      <c r="E724" s="5" t="s">
        <v>3040</v>
      </c>
      <c r="F724" s="5" t="s">
        <v>149</v>
      </c>
      <c r="G724" s="5" t="s">
        <v>100</v>
      </c>
      <c r="H724" s="5" t="s">
        <v>62</v>
      </c>
      <c r="I724" s="5" t="str">
        <f>HYPERLINK("http://www.bikinimania.it/","www.bikinimania.it")</f>
        <v>www.bikinimania.it</v>
      </c>
      <c r="J724" s="7">
        <v>899.41</v>
      </c>
      <c r="K724" s="7">
        <v>899.41</v>
      </c>
      <c r="L724" s="8">
        <v>840.24</v>
      </c>
      <c r="M724" s="7">
        <v>19.863</v>
      </c>
      <c r="N724" s="7">
        <v>19.863</v>
      </c>
      <c r="O724" s="7">
        <v>67.338999999999999</v>
      </c>
      <c r="P724" s="9" t="s">
        <v>24</v>
      </c>
      <c r="Q724" s="9" t="s">
        <v>24</v>
      </c>
      <c r="R724" s="7">
        <v>20</v>
      </c>
    </row>
    <row r="725" spans="1:18" ht="17" customHeight="1" x14ac:dyDescent="0.2">
      <c r="A725" s="10" t="s">
        <v>3041</v>
      </c>
      <c r="B725" s="11" t="s">
        <v>3042</v>
      </c>
      <c r="C725" s="10" t="s">
        <v>3043</v>
      </c>
      <c r="D725" s="10" t="s">
        <v>3043</v>
      </c>
      <c r="E725" s="10" t="s">
        <v>3044</v>
      </c>
      <c r="F725" s="10" t="s">
        <v>114</v>
      </c>
      <c r="G725" s="10" t="s">
        <v>293</v>
      </c>
      <c r="H725" s="10" t="s">
        <v>74</v>
      </c>
      <c r="I725" s="10" t="str">
        <f>HYPERLINK("http://modapara.it/","modapara.it")</f>
        <v>modapara.it</v>
      </c>
      <c r="J725" s="12">
        <v>664.60900000000004</v>
      </c>
      <c r="K725" s="12">
        <v>607.51499999999999</v>
      </c>
      <c r="L725" s="12">
        <v>840.08799999999997</v>
      </c>
      <c r="M725" s="12">
        <v>100.68899999999999</v>
      </c>
      <c r="N725" s="12">
        <v>94.393000000000001</v>
      </c>
      <c r="O725" s="12">
        <v>205.87799999999999</v>
      </c>
      <c r="P725" s="12">
        <v>7</v>
      </c>
      <c r="Q725" s="12">
        <v>7</v>
      </c>
      <c r="R725" s="12">
        <v>7</v>
      </c>
    </row>
    <row r="726" spans="1:18" ht="17" customHeight="1" x14ac:dyDescent="0.2">
      <c r="A726" s="5" t="s">
        <v>3045</v>
      </c>
      <c r="B726" s="6" t="s">
        <v>3046</v>
      </c>
      <c r="C726" s="5" t="s">
        <v>3047</v>
      </c>
      <c r="D726" s="5" t="s">
        <v>3047</v>
      </c>
      <c r="E726" s="5" t="s">
        <v>3048</v>
      </c>
      <c r="F726" s="5" t="s">
        <v>21</v>
      </c>
      <c r="G726" s="5" t="s">
        <v>55</v>
      </c>
      <c r="H726" s="5" t="s">
        <v>56</v>
      </c>
      <c r="I726" s="5" t="str">
        <f>HYPERLINK("http://www.bottega23.it/","www.bottega23.it")</f>
        <v>www.bottega23.it</v>
      </c>
      <c r="J726" s="7">
        <v>764.83199999999999</v>
      </c>
      <c r="K726" s="7">
        <v>764.83199999999999</v>
      </c>
      <c r="L726" s="8">
        <v>839.75800000000004</v>
      </c>
      <c r="M726" s="7">
        <v>13.356999999999999</v>
      </c>
      <c r="N726" s="7">
        <v>13.356999999999999</v>
      </c>
      <c r="O726" s="7">
        <v>28.785</v>
      </c>
      <c r="P726" s="9" t="s">
        <v>24</v>
      </c>
      <c r="Q726" s="9" t="s">
        <v>24</v>
      </c>
      <c r="R726" s="7">
        <v>2</v>
      </c>
    </row>
    <row r="727" spans="1:18" ht="17" customHeight="1" x14ac:dyDescent="0.2">
      <c r="A727" s="10" t="s">
        <v>3049</v>
      </c>
      <c r="B727" s="11" t="s">
        <v>3050</v>
      </c>
      <c r="C727" s="10" t="s">
        <v>3051</v>
      </c>
      <c r="D727" s="10" t="s">
        <v>3051</v>
      </c>
      <c r="E727" s="10" t="s">
        <v>3052</v>
      </c>
      <c r="F727" s="10" t="s">
        <v>48</v>
      </c>
      <c r="G727" s="10" t="s">
        <v>234</v>
      </c>
      <c r="H727" s="10" t="s">
        <v>23</v>
      </c>
      <c r="I727" s="10" t="str">
        <f>HYPERLINK("http://www.bestleather.it/","www.bestleather.it")</f>
        <v>www.bestleather.it</v>
      </c>
      <c r="J727" s="12">
        <v>1063.877</v>
      </c>
      <c r="K727" s="12">
        <v>1063.877</v>
      </c>
      <c r="L727" s="12">
        <v>838.21500000000003</v>
      </c>
      <c r="M727" s="12">
        <v>-5.3079999999999998</v>
      </c>
      <c r="N727" s="12">
        <v>-5.3079999999999998</v>
      </c>
      <c r="O727" s="12">
        <v>7.2629999999999999</v>
      </c>
      <c r="P727" s="12">
        <v>24</v>
      </c>
      <c r="Q727" s="12">
        <v>24</v>
      </c>
      <c r="R727" s="12">
        <v>15</v>
      </c>
    </row>
    <row r="728" spans="1:18" ht="43" customHeight="1" x14ac:dyDescent="0.2">
      <c r="A728" s="5" t="s">
        <v>3053</v>
      </c>
      <c r="B728" s="6" t="s">
        <v>3054</v>
      </c>
      <c r="C728" s="5" t="s">
        <v>3055</v>
      </c>
      <c r="D728" s="5" t="s">
        <v>3055</v>
      </c>
      <c r="E728" s="5" t="s">
        <v>3056</v>
      </c>
      <c r="F728" s="5" t="s">
        <v>181</v>
      </c>
      <c r="G728" s="5" t="s">
        <v>843</v>
      </c>
      <c r="H728" s="5" t="s">
        <v>299</v>
      </c>
      <c r="I728" s="5" t="str">
        <f>HYPERLINK("http://www.annabelloni.it/","www.annabelloni.it")</f>
        <v>www.annabelloni.it</v>
      </c>
      <c r="J728" s="7">
        <v>598.50900000000001</v>
      </c>
      <c r="K728" s="7">
        <v>598.50900000000001</v>
      </c>
      <c r="L728" s="8">
        <v>838.04700000000003</v>
      </c>
      <c r="M728" s="7">
        <v>-54.112000000000002</v>
      </c>
      <c r="N728" s="7">
        <v>-54.112000000000002</v>
      </c>
      <c r="O728" s="7">
        <v>33.975000000000001</v>
      </c>
      <c r="P728" s="7">
        <v>3</v>
      </c>
      <c r="Q728" s="7">
        <v>3</v>
      </c>
      <c r="R728" s="7">
        <v>3</v>
      </c>
    </row>
    <row r="729" spans="1:18" ht="17" customHeight="1" x14ac:dyDescent="0.2">
      <c r="A729" s="10" t="s">
        <v>3057</v>
      </c>
      <c r="B729" s="11" t="s">
        <v>3058</v>
      </c>
      <c r="C729" s="10" t="s">
        <v>3059</v>
      </c>
      <c r="D729" s="10" t="s">
        <v>3059</v>
      </c>
      <c r="E729" s="10" t="s">
        <v>3060</v>
      </c>
      <c r="F729" s="10" t="s">
        <v>21</v>
      </c>
      <c r="G729" s="10" t="s">
        <v>84</v>
      </c>
      <c r="H729" s="10" t="s">
        <v>74</v>
      </c>
      <c r="I729" s="10" t="str">
        <f>HYPERLINK("http://fr.lathuilecalzature.it/","fr.lathuilecalzature.it")</f>
        <v>fr.lathuilecalzature.it</v>
      </c>
      <c r="J729" s="12">
        <v>649.94899999999996</v>
      </c>
      <c r="K729" s="12">
        <v>649.94899999999996</v>
      </c>
      <c r="L729" s="12">
        <v>837.66</v>
      </c>
      <c r="M729" s="12">
        <v>89.537999999999997</v>
      </c>
      <c r="N729" s="12">
        <v>89.537999999999997</v>
      </c>
      <c r="O729" s="12">
        <v>116.086</v>
      </c>
      <c r="P729" s="12">
        <v>6</v>
      </c>
      <c r="Q729" s="12">
        <v>6</v>
      </c>
      <c r="R729" s="12">
        <v>7</v>
      </c>
    </row>
    <row r="730" spans="1:18" ht="17" customHeight="1" x14ac:dyDescent="0.2">
      <c r="A730" s="5" t="s">
        <v>3061</v>
      </c>
      <c r="B730" s="6" t="s">
        <v>3062</v>
      </c>
      <c r="C730" s="5" t="s">
        <v>3063</v>
      </c>
      <c r="D730" s="5" t="s">
        <v>3063</v>
      </c>
      <c r="E730" s="5" t="s">
        <v>3064</v>
      </c>
      <c r="F730" s="5" t="s">
        <v>99</v>
      </c>
      <c r="G730" s="5" t="s">
        <v>49</v>
      </c>
      <c r="H730" s="5" t="s">
        <v>23</v>
      </c>
      <c r="I730" s="5" t="str">
        <f>HYPERLINK("http://crdal1982.it/","crdal1982.it")</f>
        <v>crdal1982.it</v>
      </c>
      <c r="J730" s="7">
        <v>1028.011</v>
      </c>
      <c r="K730" s="7">
        <v>1028.011</v>
      </c>
      <c r="L730" s="8">
        <v>836.49800000000005</v>
      </c>
      <c r="M730" s="7">
        <v>2.7370000000000001</v>
      </c>
      <c r="N730" s="7">
        <v>2.7370000000000001</v>
      </c>
      <c r="O730" s="7">
        <v>-19.876000000000001</v>
      </c>
      <c r="P730" s="9" t="s">
        <v>24</v>
      </c>
      <c r="Q730" s="9" t="s">
        <v>24</v>
      </c>
      <c r="R730" s="7">
        <v>7</v>
      </c>
    </row>
    <row r="731" spans="1:18" ht="17" customHeight="1" x14ac:dyDescent="0.2">
      <c r="A731" s="10" t="s">
        <v>3065</v>
      </c>
      <c r="B731" s="11" t="s">
        <v>3066</v>
      </c>
      <c r="C731" s="10" t="s">
        <v>3067</v>
      </c>
      <c r="D731" s="10" t="s">
        <v>3067</v>
      </c>
      <c r="E731" s="10" t="s">
        <v>3068</v>
      </c>
      <c r="F731" s="10" t="s">
        <v>114</v>
      </c>
      <c r="G731" s="10" t="s">
        <v>2931</v>
      </c>
      <c r="H731" s="10" t="s">
        <v>525</v>
      </c>
      <c r="I731" s="10" t="str">
        <f>HYPERLINK("http://shop.alteregolab.it/","shop.alteregolab.it")</f>
        <v>shop.alteregolab.it</v>
      </c>
      <c r="J731" s="12">
        <v>843.73800000000006</v>
      </c>
      <c r="K731" s="12">
        <v>843.73800000000006</v>
      </c>
      <c r="L731" s="12">
        <v>834.69799999999998</v>
      </c>
      <c r="M731" s="12">
        <v>20.297999999999998</v>
      </c>
      <c r="N731" s="12">
        <v>20.297999999999998</v>
      </c>
      <c r="O731" s="12">
        <v>53.424999999999997</v>
      </c>
      <c r="P731" s="13" t="s">
        <v>24</v>
      </c>
      <c r="Q731" s="13" t="s">
        <v>24</v>
      </c>
      <c r="R731" s="12">
        <v>1</v>
      </c>
    </row>
    <row r="732" spans="1:18" ht="17" customHeight="1" x14ac:dyDescent="0.2">
      <c r="A732" s="5" t="s">
        <v>3069</v>
      </c>
      <c r="B732" s="6" t="s">
        <v>3070</v>
      </c>
      <c r="C732" s="5" t="s">
        <v>3071</v>
      </c>
      <c r="D732" s="5" t="s">
        <v>3071</v>
      </c>
      <c r="E732" s="5" t="s">
        <v>3072</v>
      </c>
      <c r="F732" s="5" t="s">
        <v>29</v>
      </c>
      <c r="G732" s="5" t="s">
        <v>115</v>
      </c>
      <c r="H732" s="5" t="s">
        <v>43</v>
      </c>
      <c r="I732" s="5" t="str">
        <f>HYPERLINK("http://revolutioncompany.it/","revolutioncompany.it")</f>
        <v>revolutioncompany.it</v>
      </c>
      <c r="J732" s="7">
        <v>858.53</v>
      </c>
      <c r="K732" s="7">
        <v>858.53</v>
      </c>
      <c r="L732" s="8">
        <v>834.58299999999997</v>
      </c>
      <c r="M732" s="7">
        <v>8.3729999999999993</v>
      </c>
      <c r="N732" s="7">
        <v>8.3729999999999993</v>
      </c>
      <c r="O732" s="7">
        <v>68.978999999999999</v>
      </c>
      <c r="P732" s="9" t="s">
        <v>24</v>
      </c>
      <c r="Q732" s="9" t="s">
        <v>24</v>
      </c>
      <c r="R732" s="9" t="s">
        <v>24</v>
      </c>
    </row>
    <row r="733" spans="1:18" ht="29.5" customHeight="1" x14ac:dyDescent="0.2">
      <c r="A733" s="10" t="s">
        <v>3073</v>
      </c>
      <c r="B733" s="11" t="s">
        <v>3074</v>
      </c>
      <c r="C733" s="10" t="s">
        <v>3075</v>
      </c>
      <c r="D733" s="10" t="s">
        <v>3075</v>
      </c>
      <c r="E733" s="10" t="s">
        <v>3076</v>
      </c>
      <c r="F733" s="10" t="s">
        <v>29</v>
      </c>
      <c r="G733" s="10" t="s">
        <v>42</v>
      </c>
      <c r="H733" s="10" t="s">
        <v>43</v>
      </c>
      <c r="I733" s="10" t="str">
        <f>HYPERLINK("http://www.newservice-studiomodellistico.it/","www.newservice-studiomodellistico.it")</f>
        <v>www.newservice-studiomodellistico.it</v>
      </c>
      <c r="J733" s="12">
        <v>843.6</v>
      </c>
      <c r="K733" s="12">
        <v>843.6</v>
      </c>
      <c r="L733" s="12">
        <v>834.34100000000001</v>
      </c>
      <c r="M733" s="12">
        <v>10.336</v>
      </c>
      <c r="N733" s="12">
        <v>10.336</v>
      </c>
      <c r="O733" s="12">
        <v>164.05</v>
      </c>
      <c r="P733" s="13" t="s">
        <v>24</v>
      </c>
      <c r="Q733" s="13" t="s">
        <v>24</v>
      </c>
      <c r="R733" s="12">
        <v>7</v>
      </c>
    </row>
    <row r="734" spans="1:18" ht="17" customHeight="1" x14ac:dyDescent="0.2">
      <c r="A734" s="5" t="s">
        <v>3077</v>
      </c>
      <c r="B734" s="6" t="s">
        <v>3078</v>
      </c>
      <c r="C734" s="5" t="s">
        <v>3079</v>
      </c>
      <c r="D734" s="5" t="s">
        <v>3079</v>
      </c>
      <c r="E734" s="5" t="s">
        <v>3080</v>
      </c>
      <c r="F734" s="5" t="s">
        <v>181</v>
      </c>
      <c r="G734" s="5" t="s">
        <v>211</v>
      </c>
      <c r="H734" s="5" t="s">
        <v>74</v>
      </c>
      <c r="I734" s="5" t="str">
        <f>HYPERLINK("http://www.maglificioghidotti.com/","www.maglificioghidotti.com")</f>
        <v>www.maglificioghidotti.com</v>
      </c>
      <c r="J734" s="7">
        <v>886.10699999999997</v>
      </c>
      <c r="K734" s="7">
        <v>886.10699999999997</v>
      </c>
      <c r="L734" s="8">
        <v>834.21299999999997</v>
      </c>
      <c r="M734" s="7">
        <v>2.6840000000000002</v>
      </c>
      <c r="N734" s="7">
        <v>2.6840000000000002</v>
      </c>
      <c r="O734" s="7">
        <v>9.3260000000000005</v>
      </c>
      <c r="P734" s="9" t="s">
        <v>24</v>
      </c>
      <c r="Q734" s="9" t="s">
        <v>24</v>
      </c>
      <c r="R734" s="7">
        <v>16</v>
      </c>
    </row>
    <row r="735" spans="1:18" ht="17" customHeight="1" x14ac:dyDescent="0.2">
      <c r="A735" s="10" t="s">
        <v>3081</v>
      </c>
      <c r="B735" s="11" t="s">
        <v>3082</v>
      </c>
      <c r="C735" s="10" t="s">
        <v>3083</v>
      </c>
      <c r="D735" s="10" t="s">
        <v>3083</v>
      </c>
      <c r="E735" s="10" t="s">
        <v>3084</v>
      </c>
      <c r="F735" s="10" t="s">
        <v>462</v>
      </c>
      <c r="G735" s="10" t="s">
        <v>406</v>
      </c>
      <c r="H735" s="10" t="s">
        <v>407</v>
      </c>
      <c r="I735" s="10" t="str">
        <f>HYPERLINK("http://www.lamuraclub.com/","www.lamuraclub.com")</f>
        <v>www.lamuraclub.com</v>
      </c>
      <c r="J735" s="12">
        <v>917.44299999999998</v>
      </c>
      <c r="K735" s="12">
        <v>917.44299999999998</v>
      </c>
      <c r="L735" s="12">
        <v>833.84</v>
      </c>
      <c r="M735" s="12">
        <v>-15.781000000000001</v>
      </c>
      <c r="N735" s="12">
        <v>-15.781000000000001</v>
      </c>
      <c r="O735" s="12">
        <v>2.375</v>
      </c>
      <c r="P735" s="13" t="s">
        <v>24</v>
      </c>
      <c r="Q735" s="13" t="s">
        <v>24</v>
      </c>
      <c r="R735" s="12">
        <v>16</v>
      </c>
    </row>
    <row r="736" spans="1:18" ht="17" customHeight="1" x14ac:dyDescent="0.2">
      <c r="A736" s="5" t="s">
        <v>3085</v>
      </c>
      <c r="B736" s="6" t="s">
        <v>3086</v>
      </c>
      <c r="C736" s="5" t="s">
        <v>3087</v>
      </c>
      <c r="D736" s="5" t="s">
        <v>3087</v>
      </c>
      <c r="E736" s="5" t="s">
        <v>3088</v>
      </c>
      <c r="F736" s="5" t="s">
        <v>114</v>
      </c>
      <c r="G736" s="5" t="s">
        <v>100</v>
      </c>
      <c r="H736" s="5" t="s">
        <v>62</v>
      </c>
      <c r="I736" s="5" t="str">
        <f>HYPERLINK("http://www.forniturefabrika.com/","www.forniturefabrika.com")</f>
        <v>www.forniturefabrika.com</v>
      </c>
      <c r="J736" s="7">
        <v>987.26499999999999</v>
      </c>
      <c r="K736" s="7">
        <v>987.26499999999999</v>
      </c>
      <c r="L736" s="8">
        <v>833.34400000000005</v>
      </c>
      <c r="M736" s="7">
        <v>13.131</v>
      </c>
      <c r="N736" s="7">
        <v>13.131</v>
      </c>
      <c r="O736" s="7">
        <v>5.093</v>
      </c>
      <c r="P736" s="9" t="s">
        <v>24</v>
      </c>
      <c r="Q736" s="9" t="s">
        <v>24</v>
      </c>
      <c r="R736" s="7">
        <v>8</v>
      </c>
    </row>
    <row r="737" spans="1:18" ht="17" customHeight="1" x14ac:dyDescent="0.2">
      <c r="A737" s="10" t="s">
        <v>3089</v>
      </c>
      <c r="B737" s="11" t="s">
        <v>3090</v>
      </c>
      <c r="C737" s="10" t="s">
        <v>3091</v>
      </c>
      <c r="D737" s="10" t="s">
        <v>3091</v>
      </c>
      <c r="E737" s="10" t="s">
        <v>3092</v>
      </c>
      <c r="F737" s="10" t="s">
        <v>462</v>
      </c>
      <c r="G737" s="10" t="s">
        <v>274</v>
      </c>
      <c r="H737" s="10" t="s">
        <v>31</v>
      </c>
      <c r="I737" s="10" t="str">
        <f>HYPERLINK("http://www.frameslingerie.it/","www.frameslingerie.it")</f>
        <v>www.frameslingerie.it</v>
      </c>
      <c r="J737" s="12">
        <v>701.58</v>
      </c>
      <c r="K737" s="12">
        <v>701.58</v>
      </c>
      <c r="L737" s="12">
        <v>831.72199999999998</v>
      </c>
      <c r="M737" s="12">
        <v>20.623999999999999</v>
      </c>
      <c r="N737" s="12">
        <v>20.623999999999999</v>
      </c>
      <c r="O737" s="12">
        <v>13.331</v>
      </c>
      <c r="P737" s="13" t="s">
        <v>24</v>
      </c>
      <c r="Q737" s="13" t="s">
        <v>24</v>
      </c>
      <c r="R737" s="12">
        <v>3</v>
      </c>
    </row>
    <row r="738" spans="1:18" ht="17" customHeight="1" x14ac:dyDescent="0.2">
      <c r="A738" s="5" t="s">
        <v>3093</v>
      </c>
      <c r="B738" s="6" t="s">
        <v>3094</v>
      </c>
      <c r="C738" s="5" t="s">
        <v>3095</v>
      </c>
      <c r="D738" s="5" t="s">
        <v>3096</v>
      </c>
      <c r="E738" s="5" t="s">
        <v>3097</v>
      </c>
      <c r="F738" s="5" t="s">
        <v>72</v>
      </c>
      <c r="G738" s="5" t="s">
        <v>73</v>
      </c>
      <c r="H738" s="5" t="s">
        <v>74</v>
      </c>
      <c r="I738" s="5" t="str">
        <f>HYPERLINK("http://www.manifatturamarcal.it/","www.manifatturamarcal.it")</f>
        <v>www.manifatturamarcal.it</v>
      </c>
      <c r="J738" s="7">
        <v>963.69299999999998</v>
      </c>
      <c r="K738" s="7">
        <v>963.69299999999998</v>
      </c>
      <c r="L738" s="8">
        <v>831.25</v>
      </c>
      <c r="M738" s="7">
        <v>28.724</v>
      </c>
      <c r="N738" s="7">
        <v>28.724</v>
      </c>
      <c r="O738" s="7">
        <v>9.5299999999999994</v>
      </c>
      <c r="P738" s="7">
        <v>0</v>
      </c>
      <c r="Q738" s="7">
        <v>0</v>
      </c>
      <c r="R738" s="7">
        <v>0</v>
      </c>
    </row>
    <row r="739" spans="1:18" ht="17" customHeight="1" x14ac:dyDescent="0.2">
      <c r="A739" s="10" t="s">
        <v>3098</v>
      </c>
      <c r="B739" s="11" t="s">
        <v>3099</v>
      </c>
      <c r="C739" s="10" t="s">
        <v>3100</v>
      </c>
      <c r="D739" s="10" t="s">
        <v>3100</v>
      </c>
      <c r="E739" s="10" t="s">
        <v>3101</v>
      </c>
      <c r="F739" s="10" t="s">
        <v>114</v>
      </c>
      <c r="G739" s="10" t="s">
        <v>308</v>
      </c>
      <c r="H739" s="10" t="s">
        <v>299</v>
      </c>
      <c r="I739" s="10" t="str">
        <f>HYPERLINK("http://b2b.mydaymoda.com/","b2b.mydaymoda.com")</f>
        <v>b2b.mydaymoda.com</v>
      </c>
      <c r="J739" s="12">
        <v>697.26099999999997</v>
      </c>
      <c r="K739" s="12">
        <v>697.26099999999997</v>
      </c>
      <c r="L739" s="12">
        <v>831.13900000000001</v>
      </c>
      <c r="M739" s="12">
        <v>-28.175000000000001</v>
      </c>
      <c r="N739" s="12">
        <v>-28.175000000000001</v>
      </c>
      <c r="O739" s="12">
        <v>25.6</v>
      </c>
      <c r="P739" s="13" t="s">
        <v>24</v>
      </c>
      <c r="Q739" s="13" t="s">
        <v>24</v>
      </c>
      <c r="R739" s="12">
        <v>5</v>
      </c>
    </row>
    <row r="740" spans="1:18" ht="17" customHeight="1" x14ac:dyDescent="0.2">
      <c r="A740" s="5" t="s">
        <v>3102</v>
      </c>
      <c r="B740" s="6" t="s">
        <v>3103</v>
      </c>
      <c r="C740" s="5" t="s">
        <v>3104</v>
      </c>
      <c r="D740" s="5" t="s">
        <v>3104</v>
      </c>
      <c r="E740" s="5" t="s">
        <v>3105</v>
      </c>
      <c r="F740" s="5" t="s">
        <v>48</v>
      </c>
      <c r="G740" s="5" t="s">
        <v>224</v>
      </c>
      <c r="H740" s="5" t="s">
        <v>23</v>
      </c>
      <c r="I740" s="5" t="str">
        <f>HYPERLINK("http://www.duepax.com/","www.duepax.com")</f>
        <v>www.duepax.com</v>
      </c>
      <c r="J740" s="7">
        <v>1398.576</v>
      </c>
      <c r="K740" s="7">
        <v>1398.576</v>
      </c>
      <c r="L740" s="8">
        <v>830.67</v>
      </c>
      <c r="M740" s="7">
        <v>340.71800000000002</v>
      </c>
      <c r="N740" s="7">
        <v>340.71800000000002</v>
      </c>
      <c r="O740" s="7">
        <v>86.191000000000003</v>
      </c>
      <c r="P740" s="9" t="s">
        <v>24</v>
      </c>
      <c r="Q740" s="9" t="s">
        <v>24</v>
      </c>
      <c r="R740" s="7">
        <v>10</v>
      </c>
    </row>
    <row r="741" spans="1:18" ht="29.5" customHeight="1" x14ac:dyDescent="0.2">
      <c r="A741" s="10" t="s">
        <v>3106</v>
      </c>
      <c r="B741" s="11" t="s">
        <v>3107</v>
      </c>
      <c r="C741" s="10" t="s">
        <v>3108</v>
      </c>
      <c r="D741" s="10" t="s">
        <v>3108</v>
      </c>
      <c r="E741" s="10" t="s">
        <v>3109</v>
      </c>
      <c r="F741" s="10" t="s">
        <v>54</v>
      </c>
      <c r="G741" s="10" t="s">
        <v>49</v>
      </c>
      <c r="H741" s="10" t="s">
        <v>23</v>
      </c>
      <c r="I741" s="10" t="str">
        <f>HYPERLINK("http://www.solettificioguerrieri.com/","www.solettificioguerrieri.com")</f>
        <v>www.solettificioguerrieri.com</v>
      </c>
      <c r="J741" s="12">
        <v>819.96100000000001</v>
      </c>
      <c r="K741" s="12">
        <v>819.96100000000001</v>
      </c>
      <c r="L741" s="12">
        <v>829.41399999999999</v>
      </c>
      <c r="M741" s="12">
        <v>11.169</v>
      </c>
      <c r="N741" s="12">
        <v>11.169</v>
      </c>
      <c r="O741" s="12">
        <v>2.99</v>
      </c>
      <c r="P741" s="12">
        <v>8</v>
      </c>
      <c r="Q741" s="12">
        <v>8</v>
      </c>
      <c r="R741" s="12">
        <v>8</v>
      </c>
    </row>
    <row r="742" spans="1:18" ht="17" customHeight="1" x14ac:dyDescent="0.2">
      <c r="A742" s="5" t="s">
        <v>3110</v>
      </c>
      <c r="B742" s="6" t="s">
        <v>3111</v>
      </c>
      <c r="C742" s="5" t="s">
        <v>3112</v>
      </c>
      <c r="D742" s="5" t="s">
        <v>3112</v>
      </c>
      <c r="E742" s="5" t="s">
        <v>3113</v>
      </c>
      <c r="F742" s="5" t="s">
        <v>181</v>
      </c>
      <c r="G742" s="5" t="s">
        <v>3114</v>
      </c>
      <c r="H742" s="5" t="s">
        <v>3115</v>
      </c>
      <c r="I742" s="5" t="str">
        <f>HYPERLINK("http://genovamoda.it/","genovamoda.it")</f>
        <v>genovamoda.it</v>
      </c>
      <c r="J742" s="7">
        <v>895</v>
      </c>
      <c r="K742" s="7">
        <v>895</v>
      </c>
      <c r="L742" s="8">
        <v>828</v>
      </c>
      <c r="M742" s="7">
        <v>62.997999999999998</v>
      </c>
      <c r="N742" s="7">
        <v>62.997999999999998</v>
      </c>
      <c r="O742" s="7">
        <v>57.503999999999998</v>
      </c>
      <c r="P742" s="7">
        <v>23</v>
      </c>
      <c r="Q742" s="7">
        <v>23</v>
      </c>
      <c r="R742" s="7">
        <v>22</v>
      </c>
    </row>
    <row r="743" spans="1:18" ht="17" customHeight="1" x14ac:dyDescent="0.2">
      <c r="A743" s="10" t="s">
        <v>3116</v>
      </c>
      <c r="B743" s="11" t="s">
        <v>3117</v>
      </c>
      <c r="C743" s="10" t="s">
        <v>3118</v>
      </c>
      <c r="D743" s="10" t="s">
        <v>3118</v>
      </c>
      <c r="E743" s="10" t="s">
        <v>3119</v>
      </c>
      <c r="F743" s="10" t="s">
        <v>114</v>
      </c>
      <c r="G743" s="10" t="s">
        <v>55</v>
      </c>
      <c r="H743" s="10" t="s">
        <v>56</v>
      </c>
      <c r="I743" s="10" t="str">
        <f>HYPERLINK("http://www.reign.it/","www.reign.it")</f>
        <v>www.reign.it</v>
      </c>
      <c r="J743" s="12">
        <v>1204.4949999999999</v>
      </c>
      <c r="K743" s="12">
        <v>1204.4949999999999</v>
      </c>
      <c r="L743" s="12">
        <v>827.89</v>
      </c>
      <c r="M743" s="12">
        <v>1.5069999999999999</v>
      </c>
      <c r="N743" s="12">
        <v>1.5069999999999999</v>
      </c>
      <c r="O743" s="12">
        <v>-67.245999999999995</v>
      </c>
      <c r="P743" s="12">
        <v>3</v>
      </c>
      <c r="Q743" s="12">
        <v>3</v>
      </c>
      <c r="R743" s="12">
        <v>4</v>
      </c>
    </row>
    <row r="744" spans="1:18" ht="17" customHeight="1" x14ac:dyDescent="0.2">
      <c r="A744" s="5" t="s">
        <v>3120</v>
      </c>
      <c r="B744" s="6" t="s">
        <v>3121</v>
      </c>
      <c r="C744" s="5" t="s">
        <v>3122</v>
      </c>
      <c r="D744" s="5" t="s">
        <v>3122</v>
      </c>
      <c r="E744" s="5" t="s">
        <v>3123</v>
      </c>
      <c r="F744" s="5" t="s">
        <v>114</v>
      </c>
      <c r="G744" s="5" t="s">
        <v>100</v>
      </c>
      <c r="H744" s="5" t="s">
        <v>62</v>
      </c>
      <c r="I744" s="5" t="str">
        <f>HYPERLINK("http://mauroblasi.it/","mauroblasi.it")</f>
        <v>mauroblasi.it</v>
      </c>
      <c r="J744" s="7">
        <v>900.81500000000005</v>
      </c>
      <c r="K744" s="7">
        <v>900.81500000000005</v>
      </c>
      <c r="L744" s="8">
        <v>827.05700000000002</v>
      </c>
      <c r="M744" s="7">
        <v>23.602</v>
      </c>
      <c r="N744" s="7">
        <v>23.602</v>
      </c>
      <c r="O744" s="7">
        <v>21.481000000000002</v>
      </c>
      <c r="P744" s="7">
        <v>3</v>
      </c>
      <c r="Q744" s="7">
        <v>3</v>
      </c>
      <c r="R744" s="7">
        <v>2</v>
      </c>
    </row>
    <row r="745" spans="1:18" ht="17" customHeight="1" x14ac:dyDescent="0.2">
      <c r="A745" s="10" t="s">
        <v>3124</v>
      </c>
      <c r="B745" s="11" t="s">
        <v>3125</v>
      </c>
      <c r="C745" s="10" t="s">
        <v>3126</v>
      </c>
      <c r="D745" s="10" t="s">
        <v>3126</v>
      </c>
      <c r="E745" s="10" t="s">
        <v>3127</v>
      </c>
      <c r="F745" s="10" t="s">
        <v>181</v>
      </c>
      <c r="G745" s="10" t="s">
        <v>326</v>
      </c>
      <c r="H745" s="10" t="s">
        <v>299</v>
      </c>
      <c r="I745" s="10" t="str">
        <f>HYPERLINK("http://www.galleranifranca.com/","www.galleranifranca.com")</f>
        <v>www.galleranifranca.com</v>
      </c>
      <c r="J745" s="12">
        <v>550.09199999999998</v>
      </c>
      <c r="K745" s="12">
        <v>550.09199999999998</v>
      </c>
      <c r="L745" s="12">
        <v>827.00599999999997</v>
      </c>
      <c r="M745" s="12">
        <v>-16.068999999999999</v>
      </c>
      <c r="N745" s="12">
        <v>-16.068999999999999</v>
      </c>
      <c r="O745" s="12">
        <v>0.80200000000000005</v>
      </c>
      <c r="P745" s="13" t="s">
        <v>24</v>
      </c>
      <c r="Q745" s="13" t="s">
        <v>24</v>
      </c>
      <c r="R745" s="12">
        <v>4</v>
      </c>
    </row>
    <row r="746" spans="1:18" ht="17" customHeight="1" x14ac:dyDescent="0.2">
      <c r="A746" s="5" t="s">
        <v>3128</v>
      </c>
      <c r="B746" s="6" t="s">
        <v>3129</v>
      </c>
      <c r="C746" s="5" t="s">
        <v>3130</v>
      </c>
      <c r="D746" s="5" t="s">
        <v>3130</v>
      </c>
      <c r="E746" s="5" t="s">
        <v>3131</v>
      </c>
      <c r="F746" s="5" t="s">
        <v>149</v>
      </c>
      <c r="G746" s="5" t="s">
        <v>89</v>
      </c>
      <c r="H746" s="5" t="s">
        <v>56</v>
      </c>
      <c r="I746" s="5" t="str">
        <f>HYPERLINK("http://www.delsa.it/","www.delsa.it")</f>
        <v>www.delsa.it</v>
      </c>
      <c r="J746" s="7">
        <v>637.63599999999997</v>
      </c>
      <c r="K746" s="7">
        <v>637.63599999999997</v>
      </c>
      <c r="L746" s="8">
        <v>825.97199999999998</v>
      </c>
      <c r="M746" s="7">
        <v>-1100.721</v>
      </c>
      <c r="N746" s="7">
        <v>-1100.721</v>
      </c>
      <c r="O746" s="7">
        <v>68.001999999999995</v>
      </c>
      <c r="P746" s="7">
        <v>12</v>
      </c>
      <c r="Q746" s="7">
        <v>12</v>
      </c>
      <c r="R746" s="7">
        <v>12</v>
      </c>
    </row>
    <row r="747" spans="1:18" ht="17" customHeight="1" x14ac:dyDescent="0.2">
      <c r="A747" s="10" t="s">
        <v>3132</v>
      </c>
      <c r="B747" s="11" t="s">
        <v>3133</v>
      </c>
      <c r="C747" s="10" t="s">
        <v>3134</v>
      </c>
      <c r="D747" s="10" t="s">
        <v>3134</v>
      </c>
      <c r="E747" s="10" t="s">
        <v>3135</v>
      </c>
      <c r="F747" s="10" t="s">
        <v>134</v>
      </c>
      <c r="G747" s="10" t="s">
        <v>547</v>
      </c>
      <c r="H747" s="10" t="s">
        <v>299</v>
      </c>
      <c r="I747" s="10" t="str">
        <f>HYPERLINK("http://sartoriacrescentini.it/","sartoriacrescentini.it")</f>
        <v>sartoriacrescentini.it</v>
      </c>
      <c r="J747" s="12">
        <v>857.55399999999997</v>
      </c>
      <c r="K747" s="12">
        <v>857.55399999999997</v>
      </c>
      <c r="L747" s="12">
        <v>824.25599999999997</v>
      </c>
      <c r="M747" s="12">
        <v>127.515</v>
      </c>
      <c r="N747" s="12">
        <v>127.515</v>
      </c>
      <c r="O747" s="12">
        <v>124.819</v>
      </c>
      <c r="P747" s="13" t="s">
        <v>24</v>
      </c>
      <c r="Q747" s="13" t="s">
        <v>24</v>
      </c>
      <c r="R747" s="12">
        <v>13</v>
      </c>
    </row>
    <row r="748" spans="1:18" ht="17" customHeight="1" x14ac:dyDescent="0.2">
      <c r="A748" s="5" t="s">
        <v>3136</v>
      </c>
      <c r="B748" s="6" t="s">
        <v>3137</v>
      </c>
      <c r="C748" s="5" t="s">
        <v>3138</v>
      </c>
      <c r="D748" s="5" t="s">
        <v>3138</v>
      </c>
      <c r="E748" s="5" t="s">
        <v>3139</v>
      </c>
      <c r="F748" s="5" t="s">
        <v>114</v>
      </c>
      <c r="G748" s="5" t="s">
        <v>100</v>
      </c>
      <c r="H748" s="5" t="s">
        <v>62</v>
      </c>
      <c r="I748" s="5" t="str">
        <f>HYPERLINK("http://www.bartin.it/","www.bartin.it")</f>
        <v>www.bartin.it</v>
      </c>
      <c r="J748" s="7">
        <v>803.52099999999996</v>
      </c>
      <c r="K748" s="7">
        <v>803.52099999999996</v>
      </c>
      <c r="L748" s="8">
        <v>823.49599999999998</v>
      </c>
      <c r="M748" s="7">
        <v>6.6260000000000003</v>
      </c>
      <c r="N748" s="7">
        <v>6.6260000000000003</v>
      </c>
      <c r="O748" s="7">
        <v>8.5950000000000006</v>
      </c>
      <c r="P748" s="9" t="s">
        <v>24</v>
      </c>
      <c r="Q748" s="9" t="s">
        <v>24</v>
      </c>
      <c r="R748" s="9" t="s">
        <v>24</v>
      </c>
    </row>
    <row r="749" spans="1:18" ht="17" customHeight="1" x14ac:dyDescent="0.2">
      <c r="A749" s="10" t="s">
        <v>3140</v>
      </c>
      <c r="B749" s="11" t="s">
        <v>3141</v>
      </c>
      <c r="C749" s="10" t="s">
        <v>3142</v>
      </c>
      <c r="D749" s="10" t="s">
        <v>3142</v>
      </c>
      <c r="E749" s="10" t="s">
        <v>3143</v>
      </c>
      <c r="F749" s="10" t="s">
        <v>48</v>
      </c>
      <c r="G749" s="10" t="s">
        <v>100</v>
      </c>
      <c r="H749" s="10" t="s">
        <v>62</v>
      </c>
      <c r="I749" s="10" t="str">
        <f>HYPERLINK("http://www.pelletteriaesposito.it/","http://www.pelletteriaesposito.it")</f>
        <v>http://www.pelletteriaesposito.it</v>
      </c>
      <c r="J749" s="12">
        <v>1769.2460000000001</v>
      </c>
      <c r="K749" s="12">
        <v>1769.2460000000001</v>
      </c>
      <c r="L749" s="12">
        <v>820.78700000000003</v>
      </c>
      <c r="M749" s="12">
        <v>11.148</v>
      </c>
      <c r="N749" s="12">
        <v>11.148</v>
      </c>
      <c r="O749" s="12">
        <v>8.6389999999999993</v>
      </c>
      <c r="P749" s="13" t="s">
        <v>24</v>
      </c>
      <c r="Q749" s="13" t="s">
        <v>24</v>
      </c>
      <c r="R749" s="12">
        <v>18</v>
      </c>
    </row>
    <row r="750" spans="1:18" ht="17" customHeight="1" x14ac:dyDescent="0.2">
      <c r="A750" s="5" t="s">
        <v>3144</v>
      </c>
      <c r="B750" s="6" t="s">
        <v>3145</v>
      </c>
      <c r="C750" s="5" t="s">
        <v>3146</v>
      </c>
      <c r="D750" s="5" t="s">
        <v>3146</v>
      </c>
      <c r="E750" s="5" t="s">
        <v>3147</v>
      </c>
      <c r="F750" s="5" t="s">
        <v>367</v>
      </c>
      <c r="G750" s="5" t="s">
        <v>42</v>
      </c>
      <c r="H750" s="5" t="s">
        <v>43</v>
      </c>
      <c r="I750" s="5" t="str">
        <f>HYPERLINK("http://oneglove.it/","oneglove.it")</f>
        <v>oneglove.it</v>
      </c>
      <c r="J750" s="7">
        <v>818.69399999999996</v>
      </c>
      <c r="K750" s="9" t="s">
        <v>24</v>
      </c>
      <c r="L750" s="8">
        <v>818.69399999999996</v>
      </c>
      <c r="M750" s="7">
        <v>40.191000000000003</v>
      </c>
      <c r="N750" s="9" t="s">
        <v>24</v>
      </c>
      <c r="O750" s="7">
        <v>40.191000000000003</v>
      </c>
      <c r="P750" s="7">
        <v>6</v>
      </c>
      <c r="Q750" s="9" t="s">
        <v>24</v>
      </c>
      <c r="R750" s="7">
        <v>6</v>
      </c>
    </row>
    <row r="751" spans="1:18" ht="17" customHeight="1" x14ac:dyDescent="0.2">
      <c r="A751" s="10" t="s">
        <v>3148</v>
      </c>
      <c r="B751" s="11" t="s">
        <v>3149</v>
      </c>
      <c r="C751" s="10" t="s">
        <v>3150</v>
      </c>
      <c r="D751" s="10" t="s">
        <v>3150</v>
      </c>
      <c r="E751" s="10" t="s">
        <v>3151</v>
      </c>
      <c r="F751" s="10" t="s">
        <v>29</v>
      </c>
      <c r="G751" s="10" t="s">
        <v>61</v>
      </c>
      <c r="H751" s="10" t="s">
        <v>62</v>
      </c>
      <c r="I751" s="10" t="str">
        <f>HYPERLINK("http://www.traustore.it/","www.traustore.it")</f>
        <v>www.traustore.it</v>
      </c>
      <c r="J751" s="12">
        <v>856.18799999999999</v>
      </c>
      <c r="K751" s="12">
        <v>796.71</v>
      </c>
      <c r="L751" s="12">
        <v>816.625</v>
      </c>
      <c r="M751" s="12">
        <v>70.042000000000002</v>
      </c>
      <c r="N751" s="12">
        <v>15.291</v>
      </c>
      <c r="O751" s="12">
        <v>29.498000000000001</v>
      </c>
      <c r="P751" s="13" t="s">
        <v>24</v>
      </c>
      <c r="Q751" s="13" t="s">
        <v>24</v>
      </c>
      <c r="R751" s="12">
        <v>13</v>
      </c>
    </row>
    <row r="752" spans="1:18" ht="17" customHeight="1" x14ac:dyDescent="0.2">
      <c r="A752" s="5" t="s">
        <v>3152</v>
      </c>
      <c r="B752" s="6" t="s">
        <v>3153</v>
      </c>
      <c r="C752" s="5" t="s">
        <v>3154</v>
      </c>
      <c r="D752" s="5" t="s">
        <v>3154</v>
      </c>
      <c r="E752" s="5" t="s">
        <v>3155</v>
      </c>
      <c r="F752" s="5" t="s">
        <v>114</v>
      </c>
      <c r="G752" s="5" t="s">
        <v>1013</v>
      </c>
      <c r="H752" s="5" t="s">
        <v>43</v>
      </c>
      <c r="I752" s="5" t="str">
        <f>HYPERLINK("http://www.sartoriacavour.it/","www.sartoriacavour.it")</f>
        <v>www.sartoriacavour.it</v>
      </c>
      <c r="J752" s="7">
        <v>1125.1479999999999</v>
      </c>
      <c r="K752" s="7">
        <v>1125.1479999999999</v>
      </c>
      <c r="L752" s="8">
        <v>815.78399999999999</v>
      </c>
      <c r="M752" s="7">
        <v>158.792</v>
      </c>
      <c r="N752" s="7">
        <v>158.792</v>
      </c>
      <c r="O752" s="7">
        <v>-62.426000000000002</v>
      </c>
      <c r="P752" s="7">
        <v>26</v>
      </c>
      <c r="Q752" s="7">
        <v>26</v>
      </c>
      <c r="R752" s="7">
        <v>16</v>
      </c>
    </row>
    <row r="753" spans="1:18" ht="17" customHeight="1" x14ac:dyDescent="0.2">
      <c r="A753" s="10" t="s">
        <v>3156</v>
      </c>
      <c r="B753" s="11" t="s">
        <v>3157</v>
      </c>
      <c r="C753" s="10" t="s">
        <v>3158</v>
      </c>
      <c r="D753" s="10" t="s">
        <v>3158</v>
      </c>
      <c r="E753" s="10" t="s">
        <v>3159</v>
      </c>
      <c r="F753" s="10" t="s">
        <v>48</v>
      </c>
      <c r="G753" s="10" t="s">
        <v>79</v>
      </c>
      <c r="H753" s="10" t="s">
        <v>56</v>
      </c>
      <c r="I753" s="10" t="str">
        <f>HYPERLINK("http://www.carlosalvatelli.com/","www.carlosalvatelli.com")</f>
        <v>www.carlosalvatelli.com</v>
      </c>
      <c r="J753" s="12">
        <v>838.23500000000001</v>
      </c>
      <c r="K753" s="12">
        <v>838.23500000000001</v>
      </c>
      <c r="L753" s="12">
        <v>813.43899999999996</v>
      </c>
      <c r="M753" s="12">
        <v>3.2839999999999998</v>
      </c>
      <c r="N753" s="12">
        <v>3.2839999999999998</v>
      </c>
      <c r="O753" s="12">
        <v>2.0070000000000001</v>
      </c>
      <c r="P753" s="12">
        <v>3</v>
      </c>
      <c r="Q753" s="12">
        <v>3</v>
      </c>
      <c r="R753" s="12">
        <v>3</v>
      </c>
    </row>
    <row r="754" spans="1:18" ht="17" customHeight="1" x14ac:dyDescent="0.2">
      <c r="A754" s="5" t="s">
        <v>3160</v>
      </c>
      <c r="B754" s="6" t="s">
        <v>3161</v>
      </c>
      <c r="C754" s="5" t="s">
        <v>3162</v>
      </c>
      <c r="D754" s="5" t="s">
        <v>3162</v>
      </c>
      <c r="E754" s="5" t="s">
        <v>3163</v>
      </c>
      <c r="F754" s="5" t="s">
        <v>105</v>
      </c>
      <c r="G754" s="5" t="s">
        <v>94</v>
      </c>
      <c r="H754" s="5" t="s">
        <v>62</v>
      </c>
      <c r="I754" s="5" t="str">
        <f>HYPERLINK("http://dmties.italianmoda.com/","dmties.italianmoda.com")</f>
        <v>dmties.italianmoda.com</v>
      </c>
      <c r="J754" s="7">
        <v>684.72799999999995</v>
      </c>
      <c r="K754" s="7">
        <v>684.72799999999995</v>
      </c>
      <c r="L754" s="8">
        <v>811.98199999999997</v>
      </c>
      <c r="M754" s="7">
        <v>0.36099999999999999</v>
      </c>
      <c r="N754" s="7">
        <v>0.36099999999999999</v>
      </c>
      <c r="O754" s="7">
        <v>7.0650000000000004</v>
      </c>
      <c r="P754" s="7">
        <v>21</v>
      </c>
      <c r="Q754" s="7">
        <v>21</v>
      </c>
      <c r="R754" s="7">
        <v>20</v>
      </c>
    </row>
    <row r="755" spans="1:18" ht="17" customHeight="1" x14ac:dyDescent="0.2">
      <c r="A755" s="10" t="s">
        <v>3164</v>
      </c>
      <c r="B755" s="11" t="s">
        <v>3165</v>
      </c>
      <c r="C755" s="10" t="s">
        <v>3166</v>
      </c>
      <c r="D755" s="10" t="s">
        <v>3166</v>
      </c>
      <c r="E755" s="10" t="s">
        <v>3167</v>
      </c>
      <c r="F755" s="10" t="s">
        <v>48</v>
      </c>
      <c r="G755" s="10" t="s">
        <v>49</v>
      </c>
      <c r="H755" s="10" t="s">
        <v>23</v>
      </c>
      <c r="I755" s="10" t="str">
        <f>HYPERLINK("http://www.reartufirenze.it/","www.reartufirenze.it")</f>
        <v>www.reartufirenze.it</v>
      </c>
      <c r="J755" s="12">
        <v>402.99799999999999</v>
      </c>
      <c r="K755" s="12">
        <v>402.99799999999999</v>
      </c>
      <c r="L755" s="12">
        <v>809.80799999999999</v>
      </c>
      <c r="M755" s="12">
        <v>-166.22800000000001</v>
      </c>
      <c r="N755" s="12">
        <v>-166.22800000000001</v>
      </c>
      <c r="O755" s="12">
        <v>38.762999999999998</v>
      </c>
      <c r="P755" s="12">
        <v>7</v>
      </c>
      <c r="Q755" s="12">
        <v>7</v>
      </c>
      <c r="R755" s="12">
        <v>7</v>
      </c>
    </row>
    <row r="756" spans="1:18" ht="17" customHeight="1" x14ac:dyDescent="0.2">
      <c r="A756" s="5" t="s">
        <v>3168</v>
      </c>
      <c r="B756" s="6" t="s">
        <v>3169</v>
      </c>
      <c r="C756" s="5" t="s">
        <v>3170</v>
      </c>
      <c r="D756" s="5" t="s">
        <v>3170</v>
      </c>
      <c r="E756" s="5" t="s">
        <v>3171</v>
      </c>
      <c r="F756" s="5" t="s">
        <v>860</v>
      </c>
      <c r="G756" s="5" t="s">
        <v>326</v>
      </c>
      <c r="H756" s="5" t="s">
        <v>299</v>
      </c>
      <c r="I756" s="5" t="str">
        <f>HYPERLINK("http://www.colva.it/","www.colva.it")</f>
        <v>www.colva.it</v>
      </c>
      <c r="J756" s="7">
        <v>801.93600000000004</v>
      </c>
      <c r="K756" s="7">
        <v>801.93600000000004</v>
      </c>
      <c r="L756" s="8">
        <v>808.37</v>
      </c>
      <c r="M756" s="7">
        <v>185.21600000000001</v>
      </c>
      <c r="N756" s="7">
        <v>185.21600000000001</v>
      </c>
      <c r="O756" s="7">
        <v>104.38200000000001</v>
      </c>
      <c r="P756" s="7">
        <v>4</v>
      </c>
      <c r="Q756" s="7">
        <v>4</v>
      </c>
      <c r="R756" s="7">
        <v>4</v>
      </c>
    </row>
    <row r="757" spans="1:18" ht="17" customHeight="1" x14ac:dyDescent="0.2">
      <c r="A757" s="10" t="s">
        <v>3172</v>
      </c>
      <c r="B757" s="11" t="s">
        <v>3173</v>
      </c>
      <c r="C757" s="10" t="s">
        <v>3174</v>
      </c>
      <c r="D757" s="10" t="s">
        <v>3174</v>
      </c>
      <c r="E757" s="10" t="s">
        <v>3175</v>
      </c>
      <c r="F757" s="10" t="s">
        <v>134</v>
      </c>
      <c r="G757" s="10" t="s">
        <v>100</v>
      </c>
      <c r="H757" s="10" t="s">
        <v>62</v>
      </c>
      <c r="I757" s="10" t="str">
        <f>HYPERLINK("http://www.sartoriadalcuore.com/","www.sartoriadalcuore.com")</f>
        <v>www.sartoriadalcuore.com</v>
      </c>
      <c r="J757" s="12">
        <v>785.971</v>
      </c>
      <c r="K757" s="12">
        <v>785.971</v>
      </c>
      <c r="L757" s="12">
        <v>807.15899999999999</v>
      </c>
      <c r="M757" s="12">
        <v>-29.855</v>
      </c>
      <c r="N757" s="12">
        <v>-29.855</v>
      </c>
      <c r="O757" s="12">
        <v>8.0090000000000003</v>
      </c>
      <c r="P757" s="12">
        <v>7</v>
      </c>
      <c r="Q757" s="12">
        <v>7</v>
      </c>
      <c r="R757" s="12">
        <v>13</v>
      </c>
    </row>
    <row r="758" spans="1:18" ht="29.5" customHeight="1" x14ac:dyDescent="0.2">
      <c r="A758" s="5" t="s">
        <v>3176</v>
      </c>
      <c r="B758" s="6" t="s">
        <v>3177</v>
      </c>
      <c r="C758" s="5" t="s">
        <v>3178</v>
      </c>
      <c r="D758" s="5" t="s">
        <v>3178</v>
      </c>
      <c r="E758" s="5" t="s">
        <v>3179</v>
      </c>
      <c r="F758" s="5" t="s">
        <v>105</v>
      </c>
      <c r="G758" s="5" t="s">
        <v>100</v>
      </c>
      <c r="H758" s="5" t="s">
        <v>62</v>
      </c>
      <c r="I758" s="5" t="str">
        <f>HYPERLINK("http://galagloves.it/","galagloves.it")</f>
        <v>galagloves.it</v>
      </c>
      <c r="J758" s="7">
        <v>690.60900000000004</v>
      </c>
      <c r="K758" s="7">
        <v>690.60900000000004</v>
      </c>
      <c r="L758" s="8">
        <v>806.75800000000004</v>
      </c>
      <c r="M758" s="7">
        <v>27.196000000000002</v>
      </c>
      <c r="N758" s="7">
        <v>27.196000000000002</v>
      </c>
      <c r="O758" s="7">
        <v>41.136000000000003</v>
      </c>
      <c r="P758" s="9" t="s">
        <v>24</v>
      </c>
      <c r="Q758" s="9" t="s">
        <v>24</v>
      </c>
      <c r="R758" s="7">
        <v>8</v>
      </c>
    </row>
    <row r="759" spans="1:18" ht="43" customHeight="1" x14ac:dyDescent="0.2">
      <c r="A759" s="10" t="s">
        <v>3180</v>
      </c>
      <c r="B759" s="11" t="s">
        <v>3181</v>
      </c>
      <c r="C759" s="10" t="s">
        <v>3182</v>
      </c>
      <c r="D759" s="10" t="s">
        <v>3182</v>
      </c>
      <c r="E759" s="10" t="s">
        <v>3183</v>
      </c>
      <c r="F759" s="10" t="s">
        <v>105</v>
      </c>
      <c r="G759" s="10" t="s">
        <v>274</v>
      </c>
      <c r="H759" s="10" t="s">
        <v>31</v>
      </c>
      <c r="I759" s="10" t="str">
        <f>HYPERLINK("http://www.gjia.it/","www.gjia.it")</f>
        <v>www.gjia.it</v>
      </c>
      <c r="J759" s="12">
        <v>1238.806</v>
      </c>
      <c r="K759" s="12">
        <v>1238.806</v>
      </c>
      <c r="L759" s="12">
        <v>805.70399999999995</v>
      </c>
      <c r="M759" s="12">
        <v>3.278</v>
      </c>
      <c r="N759" s="12">
        <v>3.278</v>
      </c>
      <c r="O759" s="12">
        <v>61.015000000000001</v>
      </c>
      <c r="P759" s="12">
        <v>8</v>
      </c>
      <c r="Q759" s="12">
        <v>8</v>
      </c>
      <c r="R759" s="12">
        <v>7</v>
      </c>
    </row>
    <row r="760" spans="1:18" ht="17" customHeight="1" x14ac:dyDescent="0.2">
      <c r="A760" s="5" t="s">
        <v>3184</v>
      </c>
      <c r="B760" s="6" t="s">
        <v>3185</v>
      </c>
      <c r="C760" s="5" t="s">
        <v>3186</v>
      </c>
      <c r="D760" s="5" t="s">
        <v>3186</v>
      </c>
      <c r="E760" s="5" t="s">
        <v>3187</v>
      </c>
      <c r="F760" s="5" t="s">
        <v>105</v>
      </c>
      <c r="G760" s="5" t="s">
        <v>49</v>
      </c>
      <c r="H760" s="5" t="s">
        <v>23</v>
      </c>
      <c r="I760" s="5" t="str">
        <f>HYPERLINK("http://www.bettinifirenze.com/","www.bettinifirenze.com")</f>
        <v>www.bettinifirenze.com</v>
      </c>
      <c r="J760" s="7">
        <v>592.19399999999996</v>
      </c>
      <c r="K760" s="7">
        <v>592.19399999999996</v>
      </c>
      <c r="L760" s="8">
        <v>804.19899999999996</v>
      </c>
      <c r="M760" s="7">
        <v>-126.15</v>
      </c>
      <c r="N760" s="7">
        <v>-126.15</v>
      </c>
      <c r="O760" s="7">
        <v>-46.094000000000001</v>
      </c>
      <c r="P760" s="9" t="s">
        <v>24</v>
      </c>
      <c r="Q760" s="9" t="s">
        <v>24</v>
      </c>
      <c r="R760" s="7">
        <v>7</v>
      </c>
    </row>
    <row r="761" spans="1:18" ht="29.5" customHeight="1" x14ac:dyDescent="0.2">
      <c r="A761" s="10" t="s">
        <v>3188</v>
      </c>
      <c r="B761" s="11" t="s">
        <v>3189</v>
      </c>
      <c r="C761" s="10" t="s">
        <v>3190</v>
      </c>
      <c r="D761" s="10" t="s">
        <v>3190</v>
      </c>
      <c r="E761" s="10" t="s">
        <v>3191</v>
      </c>
      <c r="F761" s="10" t="s">
        <v>21</v>
      </c>
      <c r="G761" s="10" t="s">
        <v>274</v>
      </c>
      <c r="H761" s="10" t="s">
        <v>31</v>
      </c>
      <c r="I761" s="10" t="str">
        <f>HYPERLINK("http://nicam.it/","nicam.it")</f>
        <v>nicam.it</v>
      </c>
      <c r="J761" s="12">
        <v>543.38499999999999</v>
      </c>
      <c r="K761" s="12">
        <v>543.38499999999999</v>
      </c>
      <c r="L761" s="12">
        <v>804.12599999999998</v>
      </c>
      <c r="M761" s="12">
        <v>-62.115000000000002</v>
      </c>
      <c r="N761" s="12">
        <v>-62.115000000000002</v>
      </c>
      <c r="O761" s="12">
        <v>-68.103999999999999</v>
      </c>
      <c r="P761" s="13" t="s">
        <v>24</v>
      </c>
      <c r="Q761" s="13" t="s">
        <v>24</v>
      </c>
      <c r="R761" s="12">
        <v>18</v>
      </c>
    </row>
    <row r="762" spans="1:18" ht="43" customHeight="1" x14ac:dyDescent="0.2">
      <c r="A762" s="5" t="s">
        <v>3192</v>
      </c>
      <c r="B762" s="6" t="s">
        <v>3193</v>
      </c>
      <c r="C762" s="5" t="s">
        <v>3194</v>
      </c>
      <c r="D762" s="5" t="s">
        <v>3194</v>
      </c>
      <c r="E762" s="5" t="s">
        <v>3195</v>
      </c>
      <c r="F762" s="5" t="s">
        <v>21</v>
      </c>
      <c r="G762" s="5" t="s">
        <v>135</v>
      </c>
      <c r="H762" s="5" t="s">
        <v>31</v>
      </c>
      <c r="I762" s="5" t="str">
        <f>HYPERLINK("http://www.lesalentine.com/","www.lesalentine.com")</f>
        <v>www.lesalentine.com</v>
      </c>
      <c r="J762" s="7">
        <v>826.13400000000001</v>
      </c>
      <c r="K762" s="7">
        <v>826.13400000000001</v>
      </c>
      <c r="L762" s="8">
        <v>803.41899999999998</v>
      </c>
      <c r="M762" s="7">
        <v>81.52</v>
      </c>
      <c r="N762" s="7">
        <v>81.52</v>
      </c>
      <c r="O762" s="7">
        <v>72.542000000000002</v>
      </c>
      <c r="P762" s="7">
        <v>8</v>
      </c>
      <c r="Q762" s="7">
        <v>8</v>
      </c>
      <c r="R762" s="7">
        <v>8</v>
      </c>
    </row>
    <row r="763" spans="1:18" ht="17" customHeight="1" x14ac:dyDescent="0.2">
      <c r="A763" s="10" t="s">
        <v>3196</v>
      </c>
      <c r="B763" s="11" t="s">
        <v>3197</v>
      </c>
      <c r="C763" s="10" t="s">
        <v>3198</v>
      </c>
      <c r="D763" s="10" t="s">
        <v>3198</v>
      </c>
      <c r="E763" s="10" t="s">
        <v>3199</v>
      </c>
      <c r="F763" s="10" t="s">
        <v>105</v>
      </c>
      <c r="G763" s="10" t="s">
        <v>89</v>
      </c>
      <c r="H763" s="10" t="s">
        <v>56</v>
      </c>
      <c r="I763" s="10" t="str">
        <f>HYPERLINK("http://newland.it/","newland.it")</f>
        <v>newland.it</v>
      </c>
      <c r="J763" s="12">
        <v>823.30600000000004</v>
      </c>
      <c r="K763" s="12">
        <v>823.30600000000004</v>
      </c>
      <c r="L763" s="12">
        <v>803.02300000000002</v>
      </c>
      <c r="M763" s="12">
        <v>-50.345999999999997</v>
      </c>
      <c r="N763" s="12">
        <v>-50.345999999999997</v>
      </c>
      <c r="O763" s="12">
        <v>2.8740000000000001</v>
      </c>
      <c r="P763" s="12">
        <v>7</v>
      </c>
      <c r="Q763" s="12">
        <v>7</v>
      </c>
      <c r="R763" s="12">
        <v>9</v>
      </c>
    </row>
    <row r="764" spans="1:18" ht="17" customHeight="1" x14ac:dyDescent="0.2">
      <c r="A764" s="5" t="s">
        <v>3200</v>
      </c>
      <c r="B764" s="6" t="s">
        <v>3201</v>
      </c>
      <c r="C764" s="5" t="s">
        <v>3202</v>
      </c>
      <c r="D764" s="5" t="s">
        <v>3202</v>
      </c>
      <c r="E764" s="5" t="s">
        <v>3203</v>
      </c>
      <c r="F764" s="5" t="s">
        <v>21</v>
      </c>
      <c r="G764" s="5" t="s">
        <v>100</v>
      </c>
      <c r="H764" s="5" t="s">
        <v>62</v>
      </c>
      <c r="I764" s="5" t="str">
        <f>HYPERLINK("http://shop.lidmag.it/","shop.lidmag.it")</f>
        <v>shop.lidmag.it</v>
      </c>
      <c r="J764" s="7">
        <v>969.255</v>
      </c>
      <c r="K764" s="7">
        <v>969.255</v>
      </c>
      <c r="L764" s="8">
        <v>802.71299999999997</v>
      </c>
      <c r="M764" s="7">
        <v>34.241</v>
      </c>
      <c r="N764" s="7">
        <v>34.241</v>
      </c>
      <c r="O764" s="7">
        <v>5.8129999999999997</v>
      </c>
      <c r="P764" s="7">
        <v>12</v>
      </c>
      <c r="Q764" s="7">
        <v>12</v>
      </c>
      <c r="R764" s="7">
        <v>14</v>
      </c>
    </row>
    <row r="765" spans="1:18" ht="17" customHeight="1" x14ac:dyDescent="0.2">
      <c r="A765" s="10" t="s">
        <v>3204</v>
      </c>
      <c r="B765" s="11" t="s">
        <v>3205</v>
      </c>
      <c r="C765" s="10" t="s">
        <v>3206</v>
      </c>
      <c r="D765" s="10" t="s">
        <v>3206</v>
      </c>
      <c r="E765" s="10" t="s">
        <v>3207</v>
      </c>
      <c r="F765" s="10" t="s">
        <v>99</v>
      </c>
      <c r="G765" s="10" t="s">
        <v>89</v>
      </c>
      <c r="H765" s="10" t="s">
        <v>56</v>
      </c>
      <c r="I765" s="10" t="str">
        <f>HYPERLINK("http://kauteli.it/","kauteli.it")</f>
        <v>kauteli.it</v>
      </c>
      <c r="J765" s="12">
        <v>903.55700000000002</v>
      </c>
      <c r="K765" s="12">
        <v>903.55700000000002</v>
      </c>
      <c r="L765" s="12">
        <v>802.3</v>
      </c>
      <c r="M765" s="12">
        <v>33.630000000000003</v>
      </c>
      <c r="N765" s="12">
        <v>33.630000000000003</v>
      </c>
      <c r="O765" s="12">
        <v>35.728999999999999</v>
      </c>
      <c r="P765" s="12">
        <v>12</v>
      </c>
      <c r="Q765" s="12">
        <v>12</v>
      </c>
      <c r="R765" s="12">
        <v>7</v>
      </c>
    </row>
    <row r="766" spans="1:18" ht="29.5" customHeight="1" x14ac:dyDescent="0.2">
      <c r="A766" s="5" t="s">
        <v>3208</v>
      </c>
      <c r="B766" s="6" t="s">
        <v>3209</v>
      </c>
      <c r="C766" s="5" t="s">
        <v>3210</v>
      </c>
      <c r="D766" s="5" t="s">
        <v>3210</v>
      </c>
      <c r="E766" s="5" t="s">
        <v>3211</v>
      </c>
      <c r="F766" s="5" t="s">
        <v>105</v>
      </c>
      <c r="G766" s="5" t="s">
        <v>1131</v>
      </c>
      <c r="H766" s="5" t="s">
        <v>1132</v>
      </c>
      <c r="I766" s="5" t="str">
        <f>HYPERLINK("http://www.picarazziabbigliamento.weebly.com/","www.picarazziabbigliamento.weebly.com")</f>
        <v>www.picarazziabbigliamento.weebly.com</v>
      </c>
      <c r="J766" s="7">
        <v>1105.0229999999999</v>
      </c>
      <c r="K766" s="7">
        <v>1105.0229999999999</v>
      </c>
      <c r="L766" s="8">
        <v>802.20100000000002</v>
      </c>
      <c r="M766" s="7">
        <v>0.41499999999999998</v>
      </c>
      <c r="N766" s="7">
        <v>0.41499999999999998</v>
      </c>
      <c r="O766" s="7">
        <v>2.569</v>
      </c>
      <c r="P766" s="7">
        <v>11</v>
      </c>
      <c r="Q766" s="7">
        <v>11</v>
      </c>
      <c r="R766" s="7">
        <v>10</v>
      </c>
    </row>
    <row r="767" spans="1:18" ht="17" customHeight="1" x14ac:dyDescent="0.2">
      <c r="A767" s="10" t="s">
        <v>3212</v>
      </c>
      <c r="B767" s="11" t="s">
        <v>3213</v>
      </c>
      <c r="C767" s="10" t="s">
        <v>3214</v>
      </c>
      <c r="D767" s="10" t="s">
        <v>3214</v>
      </c>
      <c r="E767" s="10" t="s">
        <v>3215</v>
      </c>
      <c r="F767" s="10" t="s">
        <v>134</v>
      </c>
      <c r="G767" s="10" t="s">
        <v>190</v>
      </c>
      <c r="H767" s="10" t="s">
        <v>74</v>
      </c>
      <c r="I767" s="10" t="str">
        <f>HYPERLINK("http://www.stefanoblandaleone.com/","www.stefanoblandaleone.com")</f>
        <v>www.stefanoblandaleone.com</v>
      </c>
      <c r="J767" s="12">
        <v>666.15200000000004</v>
      </c>
      <c r="K767" s="12">
        <v>666.15200000000004</v>
      </c>
      <c r="L767" s="12">
        <v>801.76800000000003</v>
      </c>
      <c r="M767" s="12">
        <v>0.83</v>
      </c>
      <c r="N767" s="12">
        <v>0.83</v>
      </c>
      <c r="O767" s="12">
        <v>1.0229999999999999</v>
      </c>
      <c r="P767" s="12">
        <v>6</v>
      </c>
      <c r="Q767" s="12">
        <v>6</v>
      </c>
      <c r="R767" s="12">
        <v>8</v>
      </c>
    </row>
    <row r="768" spans="1:18" ht="17" customHeight="1" x14ac:dyDescent="0.2">
      <c r="A768" s="5" t="s">
        <v>3216</v>
      </c>
      <c r="B768" s="6" t="s">
        <v>3217</v>
      </c>
      <c r="C768" s="5" t="s">
        <v>3218</v>
      </c>
      <c r="D768" s="5" t="s">
        <v>3218</v>
      </c>
      <c r="E768" s="5" t="s">
        <v>3219</v>
      </c>
      <c r="F768" s="5" t="s">
        <v>48</v>
      </c>
      <c r="G768" s="5" t="s">
        <v>100</v>
      </c>
      <c r="H768" s="5" t="s">
        <v>62</v>
      </c>
      <c r="I768" s="5" t="str">
        <f>HYPERLINK("http://www.cinturificiogian.it/","www.cinturificiogian.it")</f>
        <v>www.cinturificiogian.it</v>
      </c>
      <c r="J768" s="7">
        <v>1055.001</v>
      </c>
      <c r="K768" s="7">
        <v>1055.001</v>
      </c>
      <c r="L768" s="8">
        <v>799.85</v>
      </c>
      <c r="M768" s="7">
        <v>31.154</v>
      </c>
      <c r="N768" s="7">
        <v>31.154</v>
      </c>
      <c r="O768" s="7">
        <v>20.166</v>
      </c>
      <c r="P768" s="9" t="s">
        <v>24</v>
      </c>
      <c r="Q768" s="9" t="s">
        <v>24</v>
      </c>
      <c r="R768" s="7">
        <v>7</v>
      </c>
    </row>
    <row r="769" spans="1:18" ht="17" customHeight="1" x14ac:dyDescent="0.2">
      <c r="A769" s="10" t="s">
        <v>3220</v>
      </c>
      <c r="B769" s="11" t="s">
        <v>3221</v>
      </c>
      <c r="C769" s="10" t="s">
        <v>3222</v>
      </c>
      <c r="D769" s="10" t="s">
        <v>3222</v>
      </c>
      <c r="E769" s="10" t="s">
        <v>3223</v>
      </c>
      <c r="F769" s="10" t="s">
        <v>29</v>
      </c>
      <c r="G769" s="10" t="s">
        <v>1200</v>
      </c>
      <c r="H769" s="10" t="s">
        <v>407</v>
      </c>
      <c r="I769" s="10" t="str">
        <f>HYPERLINK("http://www.grazianiconfezioni.it/","www.grazianiconfezioni.it")</f>
        <v>www.grazianiconfezioni.it</v>
      </c>
      <c r="J769" s="12">
        <v>938.61500000000001</v>
      </c>
      <c r="K769" s="12">
        <v>938.61500000000001</v>
      </c>
      <c r="L769" s="12">
        <v>799.61900000000003</v>
      </c>
      <c r="M769" s="12">
        <v>61.712000000000003</v>
      </c>
      <c r="N769" s="12">
        <v>61.712000000000003</v>
      </c>
      <c r="O769" s="12">
        <v>73.989999999999995</v>
      </c>
      <c r="P769" s="13" t="s">
        <v>24</v>
      </c>
      <c r="Q769" s="13" t="s">
        <v>24</v>
      </c>
      <c r="R769" s="12">
        <v>15</v>
      </c>
    </row>
    <row r="770" spans="1:18" ht="17" customHeight="1" x14ac:dyDescent="0.2">
      <c r="A770" s="5" t="s">
        <v>3224</v>
      </c>
      <c r="B770" s="6" t="s">
        <v>3225</v>
      </c>
      <c r="C770" s="5" t="s">
        <v>3226</v>
      </c>
      <c r="D770" s="5" t="s">
        <v>3226</v>
      </c>
      <c r="E770" s="5" t="s">
        <v>3227</v>
      </c>
      <c r="F770" s="5" t="s">
        <v>54</v>
      </c>
      <c r="G770" s="5" t="s">
        <v>67</v>
      </c>
      <c r="H770" s="5" t="s">
        <v>43</v>
      </c>
      <c r="I770" s="5" t="str">
        <f>HYPERLINK("http://www.marraffamarcosrl.it/","www.marraffamarcosrl.it")</f>
        <v>www.marraffamarcosrl.it</v>
      </c>
      <c r="J770" s="7">
        <v>807.19899999999996</v>
      </c>
      <c r="K770" s="7">
        <v>807.19899999999996</v>
      </c>
      <c r="L770" s="8">
        <v>797.524</v>
      </c>
      <c r="M770" s="7">
        <v>124.65900000000001</v>
      </c>
      <c r="N770" s="7">
        <v>124.65900000000001</v>
      </c>
      <c r="O770" s="7">
        <v>151.09</v>
      </c>
      <c r="P770" s="7">
        <v>9</v>
      </c>
      <c r="Q770" s="7">
        <v>9</v>
      </c>
      <c r="R770" s="7">
        <v>9</v>
      </c>
    </row>
    <row r="771" spans="1:18" ht="17" customHeight="1" x14ac:dyDescent="0.2">
      <c r="A771" s="10" t="s">
        <v>3228</v>
      </c>
      <c r="B771" s="11" t="s">
        <v>3229</v>
      </c>
      <c r="C771" s="10" t="s">
        <v>3230</v>
      </c>
      <c r="D771" s="10" t="s">
        <v>3230</v>
      </c>
      <c r="E771" s="10" t="s">
        <v>3231</v>
      </c>
      <c r="F771" s="10" t="s">
        <v>462</v>
      </c>
      <c r="G771" s="10" t="s">
        <v>274</v>
      </c>
      <c r="H771" s="10" t="s">
        <v>31</v>
      </c>
      <c r="I771" s="10" t="str">
        <f>HYPERLINK("http://italianunderwear.net/","italianunderwear.net")</f>
        <v>italianunderwear.net</v>
      </c>
      <c r="J771" s="12">
        <v>695.43</v>
      </c>
      <c r="K771" s="12">
        <v>695.43</v>
      </c>
      <c r="L771" s="12">
        <v>797.48199999999997</v>
      </c>
      <c r="M771" s="12">
        <v>73.085999999999999</v>
      </c>
      <c r="N771" s="12">
        <v>73.085999999999999</v>
      </c>
      <c r="O771" s="12">
        <v>71.373000000000005</v>
      </c>
      <c r="P771" s="13" t="s">
        <v>24</v>
      </c>
      <c r="Q771" s="13" t="s">
        <v>24</v>
      </c>
      <c r="R771" s="12">
        <v>6</v>
      </c>
    </row>
    <row r="772" spans="1:18" ht="17" customHeight="1" x14ac:dyDescent="0.2">
      <c r="A772" s="5" t="s">
        <v>3232</v>
      </c>
      <c r="B772" s="6" t="s">
        <v>3233</v>
      </c>
      <c r="C772" s="5" t="s">
        <v>3234</v>
      </c>
      <c r="D772" s="5" t="s">
        <v>3234</v>
      </c>
      <c r="E772" s="5" t="s">
        <v>3235</v>
      </c>
      <c r="F772" s="5" t="s">
        <v>72</v>
      </c>
      <c r="G772" s="5" t="s">
        <v>73</v>
      </c>
      <c r="H772" s="5" t="s">
        <v>74</v>
      </c>
      <c r="I772" s="5" t="str">
        <f>HYPERLINK("http://www.calze-saber.com/","www.calze-saber.com")</f>
        <v>www.calze-saber.com</v>
      </c>
      <c r="J772" s="7">
        <v>970.39800000000002</v>
      </c>
      <c r="K772" s="7">
        <v>970.39800000000002</v>
      </c>
      <c r="L772" s="8">
        <v>797.28599999999994</v>
      </c>
      <c r="M772" s="7">
        <v>77.445999999999998</v>
      </c>
      <c r="N772" s="7">
        <v>77.445999999999998</v>
      </c>
      <c r="O772" s="7">
        <v>51.127000000000002</v>
      </c>
      <c r="P772" s="9" t="s">
        <v>24</v>
      </c>
      <c r="Q772" s="9" t="s">
        <v>24</v>
      </c>
      <c r="R772" s="7">
        <v>7</v>
      </c>
    </row>
    <row r="773" spans="1:18" ht="29.5" customHeight="1" x14ac:dyDescent="0.2">
      <c r="A773" s="10" t="s">
        <v>3236</v>
      </c>
      <c r="B773" s="11" t="s">
        <v>3237</v>
      </c>
      <c r="C773" s="10" t="s">
        <v>3238</v>
      </c>
      <c r="D773" s="10" t="s">
        <v>3238</v>
      </c>
      <c r="E773" s="10" t="s">
        <v>3239</v>
      </c>
      <c r="F773" s="10" t="s">
        <v>48</v>
      </c>
      <c r="G773" s="10" t="s">
        <v>843</v>
      </c>
      <c r="H773" s="10" t="s">
        <v>299</v>
      </c>
      <c r="I773" s="10" t="str">
        <f>HYPERLINK("http://shop.daripel.com/","shop.daripel.com")</f>
        <v>shop.daripel.com</v>
      </c>
      <c r="J773" s="12">
        <v>687.61699999999996</v>
      </c>
      <c r="K773" s="12">
        <v>687.61699999999996</v>
      </c>
      <c r="L773" s="12">
        <v>796.07</v>
      </c>
      <c r="M773" s="12">
        <v>15.863</v>
      </c>
      <c r="N773" s="12">
        <v>15.863</v>
      </c>
      <c r="O773" s="12">
        <v>8.9659999999999993</v>
      </c>
      <c r="P773" s="12">
        <v>3</v>
      </c>
      <c r="Q773" s="12">
        <v>3</v>
      </c>
      <c r="R773" s="12">
        <v>3</v>
      </c>
    </row>
    <row r="774" spans="1:18" ht="17" customHeight="1" x14ac:dyDescent="0.2">
      <c r="A774" s="5" t="s">
        <v>3240</v>
      </c>
      <c r="B774" s="6" t="s">
        <v>3241</v>
      </c>
      <c r="C774" s="5" t="s">
        <v>3242</v>
      </c>
      <c r="D774" s="5" t="s">
        <v>3242</v>
      </c>
      <c r="E774" s="5" t="s">
        <v>3243</v>
      </c>
      <c r="F774" s="5" t="s">
        <v>462</v>
      </c>
      <c r="G774" s="5" t="s">
        <v>49</v>
      </c>
      <c r="H774" s="5" t="s">
        <v>23</v>
      </c>
      <c r="I774" s="5" t="str">
        <f>HYPERLINK("http://verdiani.it/","verdiani.it")</f>
        <v>verdiani.it</v>
      </c>
      <c r="J774" s="7">
        <v>735.88900000000001</v>
      </c>
      <c r="K774" s="7">
        <v>735.88900000000001</v>
      </c>
      <c r="L774" s="8">
        <v>794.495</v>
      </c>
      <c r="M774" s="7">
        <v>-389.66899999999998</v>
      </c>
      <c r="N774" s="7">
        <v>-389.66899999999998</v>
      </c>
      <c r="O774" s="7">
        <v>-203.09800000000001</v>
      </c>
      <c r="P774" s="7">
        <v>13</v>
      </c>
      <c r="Q774" s="7">
        <v>13</v>
      </c>
      <c r="R774" s="7">
        <v>13</v>
      </c>
    </row>
    <row r="775" spans="1:18" ht="17" customHeight="1" x14ac:dyDescent="0.2">
      <c r="A775" s="10" t="s">
        <v>3244</v>
      </c>
      <c r="B775" s="11" t="s">
        <v>3245</v>
      </c>
      <c r="C775" s="10" t="s">
        <v>3246</v>
      </c>
      <c r="D775" s="10" t="s">
        <v>3246</v>
      </c>
      <c r="E775" s="10" t="s">
        <v>3247</v>
      </c>
      <c r="F775" s="10" t="s">
        <v>29</v>
      </c>
      <c r="G775" s="10" t="s">
        <v>229</v>
      </c>
      <c r="H775" s="10" t="s">
        <v>31</v>
      </c>
      <c r="I775" s="10" t="str">
        <f>HYPERLINK("http://www.ambaraba.net/","www.ambaraba.net")</f>
        <v>www.ambaraba.net</v>
      </c>
      <c r="J775" s="12">
        <v>852.62599999999998</v>
      </c>
      <c r="K775" s="12">
        <v>852.62599999999998</v>
      </c>
      <c r="L775" s="12">
        <v>793.11699999999996</v>
      </c>
      <c r="M775" s="12">
        <v>0.39700000000000002</v>
      </c>
      <c r="N775" s="12">
        <v>0.39700000000000002</v>
      </c>
      <c r="O775" s="12">
        <v>-5.9539999999999997</v>
      </c>
      <c r="P775" s="12">
        <v>9</v>
      </c>
      <c r="Q775" s="12">
        <v>9</v>
      </c>
      <c r="R775" s="12">
        <v>14</v>
      </c>
    </row>
    <row r="776" spans="1:18" ht="17" customHeight="1" x14ac:dyDescent="0.2">
      <c r="A776" s="5" t="s">
        <v>3248</v>
      </c>
      <c r="B776" s="6" t="s">
        <v>3249</v>
      </c>
      <c r="C776" s="5" t="s">
        <v>3250</v>
      </c>
      <c r="D776" s="5" t="s">
        <v>3250</v>
      </c>
      <c r="E776" s="5" t="s">
        <v>3251</v>
      </c>
      <c r="F776" s="5" t="s">
        <v>29</v>
      </c>
      <c r="G776" s="5" t="s">
        <v>100</v>
      </c>
      <c r="H776" s="5" t="s">
        <v>62</v>
      </c>
      <c r="I776" s="5" t="str">
        <f>HYPERLINK("http://www.artel2000.it/","www.artel2000.it")</f>
        <v>www.artel2000.it</v>
      </c>
      <c r="J776" s="7">
        <v>678.56200000000001</v>
      </c>
      <c r="K776" s="7">
        <v>678.56200000000001</v>
      </c>
      <c r="L776" s="8">
        <v>790.72799999999995</v>
      </c>
      <c r="M776" s="7">
        <v>10.077</v>
      </c>
      <c r="N776" s="7">
        <v>10.077</v>
      </c>
      <c r="O776" s="7">
        <v>13.768000000000001</v>
      </c>
      <c r="P776" s="9" t="s">
        <v>24</v>
      </c>
      <c r="Q776" s="9" t="s">
        <v>24</v>
      </c>
      <c r="R776" s="7">
        <v>7</v>
      </c>
    </row>
    <row r="777" spans="1:18" ht="17" customHeight="1" x14ac:dyDescent="0.2">
      <c r="A777" s="10" t="s">
        <v>3252</v>
      </c>
      <c r="B777" s="11" t="s">
        <v>3253</v>
      </c>
      <c r="C777" s="10" t="s">
        <v>3254</v>
      </c>
      <c r="D777" s="10" t="s">
        <v>3255</v>
      </c>
      <c r="E777" s="10" t="s">
        <v>3256</v>
      </c>
      <c r="F777" s="10" t="s">
        <v>54</v>
      </c>
      <c r="G777" s="10" t="s">
        <v>100</v>
      </c>
      <c r="H777" s="10" t="s">
        <v>62</v>
      </c>
      <c r="I777" s="10" t="str">
        <f>HYPERLINK("http://www.lillio.it/","www.lillio.it")</f>
        <v>www.lillio.it</v>
      </c>
      <c r="J777" s="12">
        <v>857.63</v>
      </c>
      <c r="K777" s="12">
        <v>857.63</v>
      </c>
      <c r="L777" s="12">
        <v>789.67</v>
      </c>
      <c r="M777" s="12">
        <v>-33.868000000000002</v>
      </c>
      <c r="N777" s="12">
        <v>-33.868000000000002</v>
      </c>
      <c r="O777" s="12">
        <v>-130.40199999999999</v>
      </c>
      <c r="P777" s="12">
        <v>15</v>
      </c>
      <c r="Q777" s="12">
        <v>15</v>
      </c>
      <c r="R777" s="12">
        <v>16</v>
      </c>
    </row>
    <row r="778" spans="1:18" ht="17" customHeight="1" x14ac:dyDescent="0.2">
      <c r="A778" s="5" t="s">
        <v>3257</v>
      </c>
      <c r="B778" s="6" t="s">
        <v>3258</v>
      </c>
      <c r="C778" s="5" t="s">
        <v>3259</v>
      </c>
      <c r="D778" s="5" t="s">
        <v>3259</v>
      </c>
      <c r="E778" s="5" t="s">
        <v>3260</v>
      </c>
      <c r="F778" s="5" t="s">
        <v>114</v>
      </c>
      <c r="G778" s="5" t="s">
        <v>3261</v>
      </c>
      <c r="H778" s="5" t="s">
        <v>1158</v>
      </c>
      <c r="I778" s="5" t="str">
        <f>HYPERLINK("http://moditinternational.it/","moditinternational.it")</f>
        <v>moditinternational.it</v>
      </c>
      <c r="J778" s="7">
        <v>789.63499999999999</v>
      </c>
      <c r="K778" s="9" t="s">
        <v>24</v>
      </c>
      <c r="L778" s="8">
        <v>789.63499999999999</v>
      </c>
      <c r="M778" s="7">
        <v>-619.09299999999996</v>
      </c>
      <c r="N778" s="9" t="s">
        <v>24</v>
      </c>
      <c r="O778" s="7">
        <v>-619.09299999999996</v>
      </c>
      <c r="P778" s="7">
        <v>9</v>
      </c>
      <c r="Q778" s="9" t="s">
        <v>24</v>
      </c>
      <c r="R778" s="7">
        <v>9</v>
      </c>
    </row>
    <row r="779" spans="1:18" ht="17" customHeight="1" x14ac:dyDescent="0.2">
      <c r="A779" s="10" t="s">
        <v>3262</v>
      </c>
      <c r="B779" s="11" t="s">
        <v>3263</v>
      </c>
      <c r="C779" s="10" t="s">
        <v>3264</v>
      </c>
      <c r="D779" s="10" t="s">
        <v>3264</v>
      </c>
      <c r="E779" s="10" t="s">
        <v>3265</v>
      </c>
      <c r="F779" s="10" t="s">
        <v>181</v>
      </c>
      <c r="G779" s="10" t="s">
        <v>298</v>
      </c>
      <c r="H779" s="10" t="s">
        <v>299</v>
      </c>
      <c r="I779" s="10" t="str">
        <f>HYPERLINK("http://maglificiosofia.it/","maglificiosofia.it")</f>
        <v>maglificiosofia.it</v>
      </c>
      <c r="J779" s="12">
        <v>708.28599999999994</v>
      </c>
      <c r="K779" s="12">
        <v>708.28599999999994</v>
      </c>
      <c r="L779" s="12">
        <v>787.83500000000004</v>
      </c>
      <c r="M779" s="12">
        <v>25.86</v>
      </c>
      <c r="N779" s="12">
        <v>25.86</v>
      </c>
      <c r="O779" s="12">
        <v>11.747</v>
      </c>
      <c r="P779" s="12">
        <v>6</v>
      </c>
      <c r="Q779" s="12">
        <v>6</v>
      </c>
      <c r="R779" s="12">
        <v>6</v>
      </c>
    </row>
    <row r="780" spans="1:18" ht="17" customHeight="1" x14ac:dyDescent="0.2">
      <c r="A780" s="5" t="s">
        <v>3266</v>
      </c>
      <c r="B780" s="6" t="s">
        <v>3267</v>
      </c>
      <c r="C780" s="5" t="s">
        <v>3268</v>
      </c>
      <c r="D780" s="5" t="s">
        <v>3268</v>
      </c>
      <c r="E780" s="5" t="s">
        <v>3269</v>
      </c>
      <c r="F780" s="5" t="s">
        <v>114</v>
      </c>
      <c r="G780" s="5" t="s">
        <v>135</v>
      </c>
      <c r="H780" s="5" t="s">
        <v>31</v>
      </c>
      <c r="I780" s="5" t="str">
        <f>HYPERLINK("http://www.igisrl.com/","www.igisrl.com")</f>
        <v>www.igisrl.com</v>
      </c>
      <c r="J780" s="7">
        <v>1672.079</v>
      </c>
      <c r="K780" s="7">
        <v>1460.9110000000001</v>
      </c>
      <c r="L780" s="8">
        <v>787.33100000000002</v>
      </c>
      <c r="M780" s="7">
        <v>44.822000000000003</v>
      </c>
      <c r="N780" s="7">
        <v>40.103000000000002</v>
      </c>
      <c r="O780" s="7">
        <v>26.004000000000001</v>
      </c>
      <c r="P780" s="9" t="s">
        <v>24</v>
      </c>
      <c r="Q780" s="9" t="s">
        <v>24</v>
      </c>
      <c r="R780" s="7">
        <v>5</v>
      </c>
    </row>
    <row r="781" spans="1:18" ht="17" customHeight="1" x14ac:dyDescent="0.2">
      <c r="A781" s="10" t="s">
        <v>3270</v>
      </c>
      <c r="B781" s="11" t="s">
        <v>3271</v>
      </c>
      <c r="C781" s="10" t="s">
        <v>3272</v>
      </c>
      <c r="D781" s="10" t="s">
        <v>3272</v>
      </c>
      <c r="E781" s="10" t="s">
        <v>3273</v>
      </c>
      <c r="F781" s="10" t="s">
        <v>114</v>
      </c>
      <c r="G781" s="10" t="s">
        <v>135</v>
      </c>
      <c r="H781" s="10" t="s">
        <v>31</v>
      </c>
      <c r="I781" s="10" t="str">
        <f>HYPERLINK("http://www.biancadeibleve.it/","www.biancadeibleve.it")</f>
        <v>www.biancadeibleve.it</v>
      </c>
      <c r="J781" s="12">
        <v>786.755</v>
      </c>
      <c r="K781" s="12">
        <v>786.755</v>
      </c>
      <c r="L781" s="12">
        <v>787.10699999999997</v>
      </c>
      <c r="M781" s="12">
        <v>113.1</v>
      </c>
      <c r="N781" s="12">
        <v>113.1</v>
      </c>
      <c r="O781" s="12">
        <v>128.56299999999999</v>
      </c>
      <c r="P781" s="12">
        <v>17</v>
      </c>
      <c r="Q781" s="12">
        <v>17</v>
      </c>
      <c r="R781" s="12">
        <v>21</v>
      </c>
    </row>
    <row r="782" spans="1:18" ht="17" customHeight="1" x14ac:dyDescent="0.2">
      <c r="A782" s="5" t="s">
        <v>3274</v>
      </c>
      <c r="B782" s="6" t="s">
        <v>3275</v>
      </c>
      <c r="C782" s="5" t="s">
        <v>3276</v>
      </c>
      <c r="D782" s="5" t="s">
        <v>3276</v>
      </c>
      <c r="E782" s="5" t="s">
        <v>3277</v>
      </c>
      <c r="F782" s="5" t="s">
        <v>41</v>
      </c>
      <c r="G782" s="5" t="s">
        <v>224</v>
      </c>
      <c r="H782" s="5" t="s">
        <v>23</v>
      </c>
      <c r="I782" s="5" t="str">
        <f>HYPERLINK("http://www.modapelsnc.it/","www.modapelsnc.it")</f>
        <v>www.modapelsnc.it</v>
      </c>
      <c r="J782" s="7">
        <v>728.495</v>
      </c>
      <c r="K782" s="7">
        <v>728.495</v>
      </c>
      <c r="L782" s="8">
        <v>786.38699999999994</v>
      </c>
      <c r="M782" s="7">
        <v>7.6079999999999997</v>
      </c>
      <c r="N782" s="7">
        <v>7.6079999999999997</v>
      </c>
      <c r="O782" s="7">
        <v>6.8140000000000001</v>
      </c>
      <c r="P782" s="7">
        <v>6</v>
      </c>
      <c r="Q782" s="7">
        <v>6</v>
      </c>
      <c r="R782" s="7">
        <v>8</v>
      </c>
    </row>
    <row r="783" spans="1:18" ht="43" customHeight="1" x14ac:dyDescent="0.2">
      <c r="A783" s="10" t="s">
        <v>3278</v>
      </c>
      <c r="B783" s="11" t="s">
        <v>3279</v>
      </c>
      <c r="C783" s="10" t="s">
        <v>3280</v>
      </c>
      <c r="D783" s="10" t="s">
        <v>3280</v>
      </c>
      <c r="E783" s="10" t="s">
        <v>3281</v>
      </c>
      <c r="F783" s="10" t="s">
        <v>105</v>
      </c>
      <c r="G783" s="10" t="s">
        <v>293</v>
      </c>
      <c r="H783" s="10" t="s">
        <v>74</v>
      </c>
      <c r="I783" s="10" t="str">
        <f>HYPERLINK("http://www.3fmoda.it/","www.3fmoda.it")</f>
        <v>www.3fmoda.it</v>
      </c>
      <c r="J783" s="12">
        <v>786.18899999999996</v>
      </c>
      <c r="K783" s="13" t="s">
        <v>24</v>
      </c>
      <c r="L783" s="12">
        <v>786.18899999999996</v>
      </c>
      <c r="M783" s="12">
        <v>3.355</v>
      </c>
      <c r="N783" s="13" t="s">
        <v>24</v>
      </c>
      <c r="O783" s="12">
        <v>3.355</v>
      </c>
      <c r="P783" s="12">
        <v>11</v>
      </c>
      <c r="Q783" s="13" t="s">
        <v>24</v>
      </c>
      <c r="R783" s="12">
        <v>11</v>
      </c>
    </row>
    <row r="784" spans="1:18" ht="17" customHeight="1" x14ac:dyDescent="0.2">
      <c r="A784" s="5" t="s">
        <v>3282</v>
      </c>
      <c r="B784" s="6" t="s">
        <v>3283</v>
      </c>
      <c r="C784" s="5" t="s">
        <v>3284</v>
      </c>
      <c r="D784" s="5" t="s">
        <v>3285</v>
      </c>
      <c r="E784" s="5" t="s">
        <v>3286</v>
      </c>
      <c r="F784" s="5" t="s">
        <v>114</v>
      </c>
      <c r="G784" s="5" t="s">
        <v>3287</v>
      </c>
      <c r="H784" s="5" t="s">
        <v>3288</v>
      </c>
      <c r="I784" s="5" t="str">
        <f>HYPERLINK("http://www.vigano20050.com/","www.vigano20050.com")</f>
        <v>www.vigano20050.com</v>
      </c>
      <c r="J784" s="7">
        <v>674.83900000000006</v>
      </c>
      <c r="K784" s="7">
        <v>674.83900000000006</v>
      </c>
      <c r="L784" s="8">
        <v>785.851</v>
      </c>
      <c r="M784" s="7">
        <v>-156.44900000000001</v>
      </c>
      <c r="N784" s="7">
        <v>-156.44900000000001</v>
      </c>
      <c r="O784" s="7">
        <v>-12.833</v>
      </c>
      <c r="P784" s="9" t="s">
        <v>24</v>
      </c>
      <c r="Q784" s="9" t="s">
        <v>24</v>
      </c>
      <c r="R784" s="7">
        <v>5</v>
      </c>
    </row>
    <row r="785" spans="1:18" ht="17" customHeight="1" x14ac:dyDescent="0.2">
      <c r="A785" s="10" t="s">
        <v>3289</v>
      </c>
      <c r="B785" s="11" t="s">
        <v>3290</v>
      </c>
      <c r="C785" s="10" t="s">
        <v>3291</v>
      </c>
      <c r="D785" s="10" t="s">
        <v>3291</v>
      </c>
      <c r="E785" s="10" t="s">
        <v>3292</v>
      </c>
      <c r="F785" s="10" t="s">
        <v>114</v>
      </c>
      <c r="G785" s="10" t="s">
        <v>2957</v>
      </c>
      <c r="H785" s="10" t="s">
        <v>121</v>
      </c>
      <c r="I785" s="10" t="str">
        <f>HYPERLINK("http://carraro-srl.com/","carraro-srl.com")</f>
        <v>carraro-srl.com</v>
      </c>
      <c r="J785" s="12">
        <v>947.73299999999995</v>
      </c>
      <c r="K785" s="12">
        <v>947.73299999999995</v>
      </c>
      <c r="L785" s="12">
        <v>785.49599999999998</v>
      </c>
      <c r="M785" s="12">
        <v>81.311999999999998</v>
      </c>
      <c r="N785" s="12">
        <v>81.311999999999998</v>
      </c>
      <c r="O785" s="12">
        <v>57.112000000000002</v>
      </c>
      <c r="P785" s="12">
        <v>4</v>
      </c>
      <c r="Q785" s="12">
        <v>4</v>
      </c>
      <c r="R785" s="12">
        <v>4</v>
      </c>
    </row>
    <row r="786" spans="1:18" ht="43" customHeight="1" x14ac:dyDescent="0.2">
      <c r="A786" s="5" t="s">
        <v>3293</v>
      </c>
      <c r="B786" s="6" t="s">
        <v>3294</v>
      </c>
      <c r="C786" s="5" t="s">
        <v>3295</v>
      </c>
      <c r="D786" s="5" t="s">
        <v>3295</v>
      </c>
      <c r="E786" s="5" t="s">
        <v>3296</v>
      </c>
      <c r="F786" s="5" t="s">
        <v>114</v>
      </c>
      <c r="G786" s="5" t="s">
        <v>1664</v>
      </c>
      <c r="H786" s="5" t="s">
        <v>525</v>
      </c>
      <c r="I786" s="5" t="str">
        <f>HYPERLINK("http://www.vanityconfezioni.it/","www.vanityconfezioni.it")</f>
        <v>www.vanityconfezioni.it</v>
      </c>
      <c r="J786" s="7">
        <v>784.779</v>
      </c>
      <c r="K786" s="9" t="s">
        <v>24</v>
      </c>
      <c r="L786" s="8">
        <v>784.779</v>
      </c>
      <c r="M786" s="7">
        <v>77.382000000000005</v>
      </c>
      <c r="N786" s="9" t="s">
        <v>24</v>
      </c>
      <c r="O786" s="7">
        <v>77.382000000000005</v>
      </c>
      <c r="P786" s="7">
        <v>18</v>
      </c>
      <c r="Q786" s="9" t="s">
        <v>24</v>
      </c>
      <c r="R786" s="7">
        <v>18</v>
      </c>
    </row>
    <row r="787" spans="1:18" ht="17" customHeight="1" x14ac:dyDescent="0.2">
      <c r="A787" s="10" t="s">
        <v>3297</v>
      </c>
      <c r="B787" s="11" t="s">
        <v>3298</v>
      </c>
      <c r="C787" s="10" t="s">
        <v>3299</v>
      </c>
      <c r="D787" s="10" t="s">
        <v>3299</v>
      </c>
      <c r="E787" s="10" t="s">
        <v>3300</v>
      </c>
      <c r="F787" s="10" t="s">
        <v>114</v>
      </c>
      <c r="G787" s="10" t="s">
        <v>190</v>
      </c>
      <c r="H787" s="10" t="s">
        <v>74</v>
      </c>
      <c r="I787" s="10" t="str">
        <f>HYPERLINK("http://www.ippolitoconfezioni.it/","www.ippolitoconfezioni.it")</f>
        <v>www.ippolitoconfezioni.it</v>
      </c>
      <c r="J787" s="12">
        <v>958.971</v>
      </c>
      <c r="K787" s="12">
        <v>958.971</v>
      </c>
      <c r="L787" s="12">
        <v>784.74599999999998</v>
      </c>
      <c r="M787" s="12">
        <v>20.010999999999999</v>
      </c>
      <c r="N787" s="12">
        <v>20.010999999999999</v>
      </c>
      <c r="O787" s="12">
        <v>19.532</v>
      </c>
      <c r="P787" s="12">
        <v>5</v>
      </c>
      <c r="Q787" s="12">
        <v>5</v>
      </c>
      <c r="R787" s="12">
        <v>5</v>
      </c>
    </row>
    <row r="788" spans="1:18" ht="17" customHeight="1" x14ac:dyDescent="0.2">
      <c r="A788" s="5" t="s">
        <v>3301</v>
      </c>
      <c r="B788" s="6" t="s">
        <v>3302</v>
      </c>
      <c r="C788" s="5" t="s">
        <v>3303</v>
      </c>
      <c r="D788" s="5" t="s">
        <v>3303</v>
      </c>
      <c r="E788" s="5" t="s">
        <v>3304</v>
      </c>
      <c r="F788" s="5" t="s">
        <v>21</v>
      </c>
      <c r="G788" s="5" t="s">
        <v>84</v>
      </c>
      <c r="H788" s="5" t="s">
        <v>74</v>
      </c>
      <c r="I788" s="5" t="str">
        <f>HYPERLINK("http://www.destrosrl.com/","www.destrosrl.com")</f>
        <v>www.destrosrl.com</v>
      </c>
      <c r="J788" s="7">
        <v>754.63099999999997</v>
      </c>
      <c r="K788" s="7">
        <v>754.63099999999997</v>
      </c>
      <c r="L788" s="8">
        <v>783.226</v>
      </c>
      <c r="M788" s="7">
        <v>25.620999999999999</v>
      </c>
      <c r="N788" s="7">
        <v>25.620999999999999</v>
      </c>
      <c r="O788" s="7">
        <v>34.906999999999996</v>
      </c>
      <c r="P788" s="9" t="s">
        <v>24</v>
      </c>
      <c r="Q788" s="9" t="s">
        <v>24</v>
      </c>
      <c r="R788" s="7">
        <v>5</v>
      </c>
    </row>
    <row r="789" spans="1:18" ht="17" customHeight="1" x14ac:dyDescent="0.2">
      <c r="A789" s="10" t="s">
        <v>3305</v>
      </c>
      <c r="B789" s="11" t="s">
        <v>3306</v>
      </c>
      <c r="C789" s="10" t="s">
        <v>3307</v>
      </c>
      <c r="D789" s="10" t="s">
        <v>3307</v>
      </c>
      <c r="E789" s="10" t="s">
        <v>3308</v>
      </c>
      <c r="F789" s="10" t="s">
        <v>21</v>
      </c>
      <c r="G789" s="10" t="s">
        <v>3309</v>
      </c>
      <c r="H789" s="10" t="s">
        <v>477</v>
      </c>
      <c r="I789" s="10" t="str">
        <f>HYPERLINK("http://www.ortopedialocci.it/","www.ortopedialocci.it")</f>
        <v>www.ortopedialocci.it</v>
      </c>
      <c r="J789" s="12">
        <v>960.48099999999999</v>
      </c>
      <c r="K789" s="12">
        <v>960.48099999999999</v>
      </c>
      <c r="L789" s="12">
        <v>780.17200000000003</v>
      </c>
      <c r="M789" s="12">
        <v>20.27</v>
      </c>
      <c r="N789" s="12">
        <v>20.27</v>
      </c>
      <c r="O789" s="12">
        <v>5.5529999999999999</v>
      </c>
      <c r="P789" s="13" t="s">
        <v>24</v>
      </c>
      <c r="Q789" s="13" t="s">
        <v>24</v>
      </c>
      <c r="R789" s="12">
        <v>8</v>
      </c>
    </row>
    <row r="790" spans="1:18" ht="29.5" customHeight="1" x14ac:dyDescent="0.2">
      <c r="A790" s="5" t="s">
        <v>3310</v>
      </c>
      <c r="B790" s="6" t="s">
        <v>3311</v>
      </c>
      <c r="C790" s="5" t="s">
        <v>3312</v>
      </c>
      <c r="D790" s="5" t="s">
        <v>3312</v>
      </c>
      <c r="E790" s="5" t="s">
        <v>3313</v>
      </c>
      <c r="F790" s="5" t="s">
        <v>134</v>
      </c>
      <c r="G790" s="5" t="s">
        <v>190</v>
      </c>
      <c r="H790" s="5" t="s">
        <v>74</v>
      </c>
      <c r="I790" s="5" t="str">
        <f>HYPERLINK("http://www.lucapaolorossi.it/","www.lucapaolorossi.it")</f>
        <v>www.lucapaolorossi.it</v>
      </c>
      <c r="J790" s="7">
        <v>1779.6769999999999</v>
      </c>
      <c r="K790" s="7">
        <v>1779.6769999999999</v>
      </c>
      <c r="L790" s="8">
        <v>779.5</v>
      </c>
      <c r="M790" s="7">
        <v>30.518000000000001</v>
      </c>
      <c r="N790" s="7">
        <v>30.518000000000001</v>
      </c>
      <c r="O790" s="7">
        <v>44.457000000000001</v>
      </c>
      <c r="P790" s="7">
        <v>4</v>
      </c>
      <c r="Q790" s="7">
        <v>4</v>
      </c>
      <c r="R790" s="7">
        <v>5</v>
      </c>
    </row>
    <row r="791" spans="1:18" ht="17" customHeight="1" x14ac:dyDescent="0.2">
      <c r="A791" s="10" t="s">
        <v>3314</v>
      </c>
      <c r="B791" s="11" t="s">
        <v>3315</v>
      </c>
      <c r="C791" s="10" t="s">
        <v>3316</v>
      </c>
      <c r="D791" s="10" t="s">
        <v>3316</v>
      </c>
      <c r="E791" s="10" t="s">
        <v>3317</v>
      </c>
      <c r="F791" s="10" t="s">
        <v>149</v>
      </c>
      <c r="G791" s="10" t="s">
        <v>229</v>
      </c>
      <c r="H791" s="10" t="s">
        <v>31</v>
      </c>
      <c r="I791" s="10" t="str">
        <f>HYPERLINK("http://maqas.it/","maqas.it")</f>
        <v>maqas.it</v>
      </c>
      <c r="J791" s="12">
        <v>904.87900000000002</v>
      </c>
      <c r="K791" s="12">
        <v>904.87900000000002</v>
      </c>
      <c r="L791" s="12">
        <v>779.47</v>
      </c>
      <c r="M791" s="12">
        <v>28.898</v>
      </c>
      <c r="N791" s="12">
        <v>28.898</v>
      </c>
      <c r="O791" s="12">
        <v>6.6749999999999998</v>
      </c>
      <c r="P791" s="12">
        <v>21</v>
      </c>
      <c r="Q791" s="12">
        <v>21</v>
      </c>
      <c r="R791" s="12">
        <v>21</v>
      </c>
    </row>
    <row r="792" spans="1:18" ht="17" customHeight="1" x14ac:dyDescent="0.2">
      <c r="A792" s="5" t="s">
        <v>3318</v>
      </c>
      <c r="B792" s="6" t="s">
        <v>3319</v>
      </c>
      <c r="C792" s="5" t="s">
        <v>3320</v>
      </c>
      <c r="D792" s="5" t="s">
        <v>3320</v>
      </c>
      <c r="E792" s="5" t="s">
        <v>3321</v>
      </c>
      <c r="F792" s="5" t="s">
        <v>99</v>
      </c>
      <c r="G792" s="5" t="s">
        <v>49</v>
      </c>
      <c r="H792" s="5" t="s">
        <v>23</v>
      </c>
      <c r="I792" s="5" t="str">
        <f>HYPERLINK("http://www.fontanifirenze.it/","www.fontanifirenze.it")</f>
        <v>www.fontanifirenze.it</v>
      </c>
      <c r="J792" s="7">
        <v>1061.5250000000001</v>
      </c>
      <c r="K792" s="7">
        <v>1061.5250000000001</v>
      </c>
      <c r="L792" s="8">
        <v>779.43100000000004</v>
      </c>
      <c r="M792" s="7">
        <v>30.757000000000001</v>
      </c>
      <c r="N792" s="7">
        <v>30.757000000000001</v>
      </c>
      <c r="O792" s="7">
        <v>-2937.672</v>
      </c>
      <c r="P792" s="9" t="s">
        <v>24</v>
      </c>
      <c r="Q792" s="9" t="s">
        <v>24</v>
      </c>
      <c r="R792" s="7">
        <v>11</v>
      </c>
    </row>
    <row r="793" spans="1:18" ht="17" customHeight="1" x14ac:dyDescent="0.2">
      <c r="A793" s="10" t="s">
        <v>3322</v>
      </c>
      <c r="B793" s="11" t="s">
        <v>3323</v>
      </c>
      <c r="C793" s="10" t="s">
        <v>3324</v>
      </c>
      <c r="D793" s="10" t="s">
        <v>3324</v>
      </c>
      <c r="E793" s="10" t="s">
        <v>3325</v>
      </c>
      <c r="F793" s="10" t="s">
        <v>105</v>
      </c>
      <c r="G793" s="10" t="s">
        <v>100</v>
      </c>
      <c r="H793" s="10" t="s">
        <v>62</v>
      </c>
      <c r="I793" s="10" t="str">
        <f>HYPERLINK("http://valentinario.com/","valentinario.com")</f>
        <v>valentinario.com</v>
      </c>
      <c r="J793" s="12">
        <v>1004.748</v>
      </c>
      <c r="K793" s="12">
        <v>1004.748</v>
      </c>
      <c r="L793" s="12">
        <v>777.553</v>
      </c>
      <c r="M793" s="12">
        <v>11.648</v>
      </c>
      <c r="N793" s="12">
        <v>11.648</v>
      </c>
      <c r="O793" s="12">
        <v>32.987000000000002</v>
      </c>
      <c r="P793" s="13" t="s">
        <v>24</v>
      </c>
      <c r="Q793" s="13" t="s">
        <v>24</v>
      </c>
      <c r="R793" s="12">
        <v>5</v>
      </c>
    </row>
    <row r="794" spans="1:18" ht="17" customHeight="1" x14ac:dyDescent="0.2">
      <c r="A794" s="5" t="s">
        <v>3326</v>
      </c>
      <c r="B794" s="6" t="s">
        <v>3327</v>
      </c>
      <c r="C794" s="5" t="s">
        <v>3328</v>
      </c>
      <c r="D794" s="5" t="s">
        <v>3328</v>
      </c>
      <c r="E794" s="5" t="s">
        <v>3329</v>
      </c>
      <c r="F794" s="5" t="s">
        <v>114</v>
      </c>
      <c r="G794" s="5" t="s">
        <v>234</v>
      </c>
      <c r="H794" s="5" t="s">
        <v>23</v>
      </c>
      <c r="I794" s="5" t="str">
        <f>HYPERLINK("http://www.pratoservice.it/","www.pratoservice.it")</f>
        <v>www.pratoservice.it</v>
      </c>
      <c r="J794" s="7">
        <v>346.50599999999997</v>
      </c>
      <c r="K794" s="7">
        <v>346.50599999999997</v>
      </c>
      <c r="L794" s="8">
        <v>776.46600000000001</v>
      </c>
      <c r="M794" s="7">
        <v>-0.74399999999999999</v>
      </c>
      <c r="N794" s="7">
        <v>-0.74399999999999999</v>
      </c>
      <c r="O794" s="7">
        <v>17.824000000000002</v>
      </c>
      <c r="P794" s="7">
        <v>2</v>
      </c>
      <c r="Q794" s="7">
        <v>2</v>
      </c>
      <c r="R794" s="7">
        <v>11</v>
      </c>
    </row>
    <row r="795" spans="1:18" ht="17" customHeight="1" x14ac:dyDescent="0.2">
      <c r="A795" s="10" t="s">
        <v>3330</v>
      </c>
      <c r="B795" s="11" t="s">
        <v>3331</v>
      </c>
      <c r="C795" s="10" t="s">
        <v>3332</v>
      </c>
      <c r="D795" s="10" t="s">
        <v>3332</v>
      </c>
      <c r="E795" s="10" t="s">
        <v>3333</v>
      </c>
      <c r="F795" s="10" t="s">
        <v>860</v>
      </c>
      <c r="G795" s="10" t="s">
        <v>49</v>
      </c>
      <c r="H795" s="10" t="s">
        <v>23</v>
      </c>
      <c r="I795" s="10" t="str">
        <f>HYPERLINK("http://www.be-florence.com/","www.be-florence.com")</f>
        <v>www.be-florence.com</v>
      </c>
      <c r="J795" s="12">
        <v>1314.146</v>
      </c>
      <c r="K795" s="12">
        <v>1314.146</v>
      </c>
      <c r="L795" s="12">
        <v>775.60500000000002</v>
      </c>
      <c r="M795" s="12">
        <v>23.646000000000001</v>
      </c>
      <c r="N795" s="12">
        <v>23.646000000000001</v>
      </c>
      <c r="O795" s="12">
        <v>8.7439999999999998</v>
      </c>
      <c r="P795" s="13" t="s">
        <v>24</v>
      </c>
      <c r="Q795" s="13" t="s">
        <v>24</v>
      </c>
      <c r="R795" s="12">
        <v>4</v>
      </c>
    </row>
    <row r="796" spans="1:18" ht="29.5" customHeight="1" x14ac:dyDescent="0.2">
      <c r="A796" s="5" t="s">
        <v>3334</v>
      </c>
      <c r="B796" s="6" t="s">
        <v>3335</v>
      </c>
      <c r="C796" s="5" t="s">
        <v>3336</v>
      </c>
      <c r="D796" s="5" t="s">
        <v>3336</v>
      </c>
      <c r="E796" s="5" t="s">
        <v>3337</v>
      </c>
      <c r="F796" s="5" t="s">
        <v>149</v>
      </c>
      <c r="G796" s="5" t="s">
        <v>843</v>
      </c>
      <c r="H796" s="5" t="s">
        <v>299</v>
      </c>
      <c r="I796" s="5" t="str">
        <f>HYPERLINK("http://www.frogpro.eu/","www.frogpro.eu")</f>
        <v>www.frogpro.eu</v>
      </c>
      <c r="J796" s="7">
        <v>812.67</v>
      </c>
      <c r="K796" s="7">
        <v>812.67</v>
      </c>
      <c r="L796" s="8">
        <v>775.53200000000004</v>
      </c>
      <c r="M796" s="7">
        <v>4.1120000000000001</v>
      </c>
      <c r="N796" s="7">
        <v>4.1120000000000001</v>
      </c>
      <c r="O796" s="7">
        <v>9.4309999999999992</v>
      </c>
      <c r="P796" s="7">
        <v>12</v>
      </c>
      <c r="Q796" s="7">
        <v>12</v>
      </c>
      <c r="R796" s="7">
        <v>9</v>
      </c>
    </row>
    <row r="797" spans="1:18" ht="17" customHeight="1" x14ac:dyDescent="0.2">
      <c r="A797" s="10" t="s">
        <v>3338</v>
      </c>
      <c r="B797" s="11" t="s">
        <v>3339</v>
      </c>
      <c r="C797" s="10" t="s">
        <v>3340</v>
      </c>
      <c r="D797" s="10" t="s">
        <v>3340</v>
      </c>
      <c r="E797" s="10" t="s">
        <v>3341</v>
      </c>
      <c r="F797" s="10" t="s">
        <v>29</v>
      </c>
      <c r="G797" s="10" t="s">
        <v>158</v>
      </c>
      <c r="H797" s="10" t="s">
        <v>159</v>
      </c>
      <c r="I797" s="10" t="str">
        <f>HYPERLINK("http://studiomoda83.it/","studiomoda83.it")</f>
        <v>studiomoda83.it</v>
      </c>
      <c r="J797" s="12">
        <v>895.90599999999995</v>
      </c>
      <c r="K797" s="12">
        <v>895.90599999999995</v>
      </c>
      <c r="L797" s="12">
        <v>774.81100000000004</v>
      </c>
      <c r="M797" s="12">
        <v>115.57899999999999</v>
      </c>
      <c r="N797" s="12">
        <v>115.57899999999999</v>
      </c>
      <c r="O797" s="12">
        <v>112.95099999999999</v>
      </c>
      <c r="P797" s="12">
        <v>12</v>
      </c>
      <c r="Q797" s="12">
        <v>12</v>
      </c>
      <c r="R797" s="12">
        <v>15</v>
      </c>
    </row>
    <row r="798" spans="1:18" ht="17" customHeight="1" x14ac:dyDescent="0.2">
      <c r="A798" s="5" t="s">
        <v>3342</v>
      </c>
      <c r="B798" s="6" t="s">
        <v>3343</v>
      </c>
      <c r="C798" s="5" t="s">
        <v>3344</v>
      </c>
      <c r="D798" s="5" t="s">
        <v>3344</v>
      </c>
      <c r="E798" s="5" t="s">
        <v>3345</v>
      </c>
      <c r="F798" s="5" t="s">
        <v>105</v>
      </c>
      <c r="G798" s="5" t="s">
        <v>234</v>
      </c>
      <c r="H798" s="5" t="s">
        <v>23</v>
      </c>
      <c r="I798" s="5" t="str">
        <f>HYPERLINK("http://www.insidecollection.it/","http://www.insidecollection.it")</f>
        <v>http://www.insidecollection.it</v>
      </c>
      <c r="J798" s="7">
        <v>892.56299999999999</v>
      </c>
      <c r="K798" s="7">
        <v>892.56299999999999</v>
      </c>
      <c r="L798" s="8">
        <v>774.11599999999999</v>
      </c>
      <c r="M798" s="7">
        <v>26.852</v>
      </c>
      <c r="N798" s="7">
        <v>26.852</v>
      </c>
      <c r="O798" s="7">
        <v>2.0510000000000002</v>
      </c>
      <c r="P798" s="7">
        <v>3</v>
      </c>
      <c r="Q798" s="7">
        <v>3</v>
      </c>
      <c r="R798" s="7">
        <v>2</v>
      </c>
    </row>
    <row r="799" spans="1:18" ht="17" customHeight="1" x14ac:dyDescent="0.2">
      <c r="A799" s="10" t="s">
        <v>3346</v>
      </c>
      <c r="B799" s="11" t="s">
        <v>3347</v>
      </c>
      <c r="C799" s="10" t="s">
        <v>3348</v>
      </c>
      <c r="D799" s="10" t="s">
        <v>3349</v>
      </c>
      <c r="E799" s="10" t="s">
        <v>3350</v>
      </c>
      <c r="F799" s="10" t="s">
        <v>114</v>
      </c>
      <c r="G799" s="10" t="s">
        <v>73</v>
      </c>
      <c r="H799" s="10" t="s">
        <v>74</v>
      </c>
      <c r="I799" s="10" t="str">
        <f>HYPERLINK("http://www.mascherinariutilizzabile.it/","www.mascherinariutilizzabile.it")</f>
        <v>www.mascherinariutilizzabile.it</v>
      </c>
      <c r="J799" s="12">
        <v>950.14499999999998</v>
      </c>
      <c r="K799" s="12">
        <v>950.14499999999998</v>
      </c>
      <c r="L799" s="12">
        <v>773.89099999999996</v>
      </c>
      <c r="M799" s="12">
        <v>126.84699999999999</v>
      </c>
      <c r="N799" s="12">
        <v>126.84699999999999</v>
      </c>
      <c r="O799" s="12">
        <v>14.124000000000001</v>
      </c>
      <c r="P799" s="12">
        <v>16</v>
      </c>
      <c r="Q799" s="12">
        <v>16</v>
      </c>
      <c r="R799" s="12">
        <v>16</v>
      </c>
    </row>
    <row r="800" spans="1:18" ht="17" customHeight="1" x14ac:dyDescent="0.2">
      <c r="A800" s="5" t="s">
        <v>3351</v>
      </c>
      <c r="B800" s="6" t="s">
        <v>3352</v>
      </c>
      <c r="C800" s="5" t="s">
        <v>3353</v>
      </c>
      <c r="D800" s="5" t="s">
        <v>3353</v>
      </c>
      <c r="E800" s="5" t="s">
        <v>3354</v>
      </c>
      <c r="F800" s="5" t="s">
        <v>105</v>
      </c>
      <c r="G800" s="5" t="s">
        <v>190</v>
      </c>
      <c r="H800" s="5" t="s">
        <v>74</v>
      </c>
      <c r="I800" s="5" t="str">
        <f>HYPERLINK("http://www.nickymilano.it/","www.nickymilano.it")</f>
        <v>www.nickymilano.it</v>
      </c>
      <c r="J800" s="7">
        <v>772.11199999999997</v>
      </c>
      <c r="K800" s="9" t="s">
        <v>24</v>
      </c>
      <c r="L800" s="8">
        <v>772.11199999999997</v>
      </c>
      <c r="M800" s="7">
        <v>-710.62800000000004</v>
      </c>
      <c r="N800" s="9" t="s">
        <v>24</v>
      </c>
      <c r="O800" s="7">
        <v>-710.62800000000004</v>
      </c>
      <c r="P800" s="7">
        <v>6</v>
      </c>
      <c r="Q800" s="9" t="s">
        <v>24</v>
      </c>
      <c r="R800" s="7">
        <v>6</v>
      </c>
    </row>
    <row r="801" spans="1:18" ht="17" customHeight="1" x14ac:dyDescent="0.2">
      <c r="A801" s="10" t="s">
        <v>3355</v>
      </c>
      <c r="B801" s="11" t="s">
        <v>3356</v>
      </c>
      <c r="C801" s="10" t="s">
        <v>3357</v>
      </c>
      <c r="D801" s="10" t="s">
        <v>3357</v>
      </c>
      <c r="E801" s="10" t="s">
        <v>3358</v>
      </c>
      <c r="F801" s="10" t="s">
        <v>860</v>
      </c>
      <c r="G801" s="10" t="s">
        <v>843</v>
      </c>
      <c r="H801" s="10" t="s">
        <v>299</v>
      </c>
      <c r="I801" s="10" t="str">
        <f>HYPERLINK("http://www.larifurs.it/","http://www.larifurs.it")</f>
        <v>http://www.larifurs.it</v>
      </c>
      <c r="J801" s="12">
        <v>672.88</v>
      </c>
      <c r="K801" s="12">
        <v>672.88</v>
      </c>
      <c r="L801" s="12">
        <v>771.84400000000005</v>
      </c>
      <c r="M801" s="12">
        <v>1.3640000000000001</v>
      </c>
      <c r="N801" s="12">
        <v>1.3640000000000001</v>
      </c>
      <c r="O801" s="12">
        <v>1.5880000000000001</v>
      </c>
      <c r="P801" s="12">
        <v>5</v>
      </c>
      <c r="Q801" s="12">
        <v>5</v>
      </c>
      <c r="R801" s="12">
        <v>5</v>
      </c>
    </row>
    <row r="802" spans="1:18" ht="17" customHeight="1" x14ac:dyDescent="0.2">
      <c r="A802" s="5" t="s">
        <v>3359</v>
      </c>
      <c r="B802" s="6" t="s">
        <v>3360</v>
      </c>
      <c r="C802" s="5" t="s">
        <v>3361</v>
      </c>
      <c r="D802" s="5" t="s">
        <v>3361</v>
      </c>
      <c r="E802" s="5" t="s">
        <v>3362</v>
      </c>
      <c r="F802" s="5" t="s">
        <v>29</v>
      </c>
      <c r="G802" s="5" t="s">
        <v>140</v>
      </c>
      <c r="H802" s="5" t="s">
        <v>43</v>
      </c>
      <c r="I802" s="5" t="str">
        <f>HYPERLINK("http://www.spacciouomosv.it/","www.spacciouomosv.it")</f>
        <v>www.spacciouomosv.it</v>
      </c>
      <c r="J802" s="7">
        <v>703.47900000000004</v>
      </c>
      <c r="K802" s="7">
        <v>703.47900000000004</v>
      </c>
      <c r="L802" s="8">
        <v>771.65099999999995</v>
      </c>
      <c r="M802" s="7">
        <v>33.289000000000001</v>
      </c>
      <c r="N802" s="7">
        <v>33.289000000000001</v>
      </c>
      <c r="O802" s="7">
        <v>30.802</v>
      </c>
      <c r="P802" s="7">
        <v>5</v>
      </c>
      <c r="Q802" s="7">
        <v>5</v>
      </c>
      <c r="R802" s="7">
        <v>4</v>
      </c>
    </row>
    <row r="803" spans="1:18" ht="43" customHeight="1" x14ac:dyDescent="0.2">
      <c r="A803" s="10" t="s">
        <v>3363</v>
      </c>
      <c r="B803" s="11" t="s">
        <v>3364</v>
      </c>
      <c r="C803" s="10" t="s">
        <v>3365</v>
      </c>
      <c r="D803" s="10" t="s">
        <v>3366</v>
      </c>
      <c r="E803" s="10" t="s">
        <v>3367</v>
      </c>
      <c r="F803" s="10" t="s">
        <v>72</v>
      </c>
      <c r="G803" s="10" t="s">
        <v>1210</v>
      </c>
      <c r="H803" s="10" t="s">
        <v>1132</v>
      </c>
      <c r="I803" s="10" t="str">
        <f>HYPERLINK("http://www.calzificiopalatino.it/","www.calzificiopalatino.it")</f>
        <v>www.calzificiopalatino.it</v>
      </c>
      <c r="J803" s="12">
        <v>746.09299999999996</v>
      </c>
      <c r="K803" s="12">
        <v>746.09299999999996</v>
      </c>
      <c r="L803" s="12">
        <v>770.95500000000004</v>
      </c>
      <c r="M803" s="12">
        <v>7.633</v>
      </c>
      <c r="N803" s="12">
        <v>7.633</v>
      </c>
      <c r="O803" s="12">
        <v>5.0789999999999997</v>
      </c>
      <c r="P803" s="13" t="s">
        <v>24</v>
      </c>
      <c r="Q803" s="13" t="s">
        <v>24</v>
      </c>
      <c r="R803" s="12">
        <v>11</v>
      </c>
    </row>
    <row r="804" spans="1:18" ht="17" customHeight="1" x14ac:dyDescent="0.2">
      <c r="A804" s="5" t="s">
        <v>3368</v>
      </c>
      <c r="B804" s="6" t="s">
        <v>3369</v>
      </c>
      <c r="C804" s="5" t="s">
        <v>3370</v>
      </c>
      <c r="D804" s="5" t="s">
        <v>3370</v>
      </c>
      <c r="E804" s="5" t="s">
        <v>3371</v>
      </c>
      <c r="F804" s="5" t="s">
        <v>21</v>
      </c>
      <c r="G804" s="5" t="s">
        <v>73</v>
      </c>
      <c r="H804" s="5" t="s">
        <v>74</v>
      </c>
      <c r="I804" s="5" t="str">
        <f>HYPERLINK("http://www.weballerina.it/","www.weballerina.it")</f>
        <v>www.weballerina.it</v>
      </c>
      <c r="J804" s="7">
        <v>751.10799999999995</v>
      </c>
      <c r="K804" s="7">
        <v>751.10799999999995</v>
      </c>
      <c r="L804" s="8">
        <v>769.98299999999995</v>
      </c>
      <c r="M804" s="7">
        <v>1.542</v>
      </c>
      <c r="N804" s="7">
        <v>1.542</v>
      </c>
      <c r="O804" s="7">
        <v>0.20599999999999999</v>
      </c>
      <c r="P804" s="7">
        <v>3</v>
      </c>
      <c r="Q804" s="7">
        <v>3</v>
      </c>
      <c r="R804" s="7">
        <v>3</v>
      </c>
    </row>
    <row r="805" spans="1:18" ht="29.5" customHeight="1" x14ac:dyDescent="0.2">
      <c r="A805" s="10" t="s">
        <v>3372</v>
      </c>
      <c r="B805" s="11" t="s">
        <v>3373</v>
      </c>
      <c r="C805" s="10" t="s">
        <v>3374</v>
      </c>
      <c r="D805" s="10" t="s">
        <v>3374</v>
      </c>
      <c r="E805" s="10" t="s">
        <v>3375</v>
      </c>
      <c r="F805" s="10" t="s">
        <v>29</v>
      </c>
      <c r="G805" s="10" t="s">
        <v>100</v>
      </c>
      <c r="H805" s="10" t="s">
        <v>62</v>
      </c>
      <c r="I805" s="10" t="str">
        <f>HYPERLINK("http://www.stigmatiltd.it/","www.stigmatiltd.it")</f>
        <v>www.stigmatiltd.it</v>
      </c>
      <c r="J805" s="12">
        <v>918.98400000000004</v>
      </c>
      <c r="K805" s="12">
        <v>918.98400000000004</v>
      </c>
      <c r="L805" s="12">
        <v>768.58699999999999</v>
      </c>
      <c r="M805" s="12">
        <v>-219.214</v>
      </c>
      <c r="N805" s="12">
        <v>-219.214</v>
      </c>
      <c r="O805" s="12">
        <v>90.182000000000002</v>
      </c>
      <c r="P805" s="12">
        <v>5</v>
      </c>
      <c r="Q805" s="12">
        <v>5</v>
      </c>
      <c r="R805" s="12">
        <v>9</v>
      </c>
    </row>
    <row r="806" spans="1:18" ht="17" customHeight="1" x14ac:dyDescent="0.2">
      <c r="A806" s="5" t="s">
        <v>3376</v>
      </c>
      <c r="B806" s="6" t="s">
        <v>3377</v>
      </c>
      <c r="C806" s="5" t="s">
        <v>3378</v>
      </c>
      <c r="D806" s="5" t="s">
        <v>3379</v>
      </c>
      <c r="E806" s="5" t="s">
        <v>3380</v>
      </c>
      <c r="F806" s="5" t="s">
        <v>99</v>
      </c>
      <c r="G806" s="5" t="s">
        <v>676</v>
      </c>
      <c r="H806" s="5" t="s">
        <v>74</v>
      </c>
      <c r="I806" s="5" t="str">
        <f>HYPERLINK("http://www.pozzigroup.com/","www.pozzigroup.com")</f>
        <v>www.pozzigroup.com</v>
      </c>
      <c r="J806" s="7">
        <v>796.31200000000001</v>
      </c>
      <c r="K806" s="7">
        <v>796.31200000000001</v>
      </c>
      <c r="L806" s="8">
        <v>767.84</v>
      </c>
      <c r="M806" s="7">
        <v>24.641999999999999</v>
      </c>
      <c r="N806" s="7">
        <v>24.641999999999999</v>
      </c>
      <c r="O806" s="7">
        <v>-25.198</v>
      </c>
      <c r="P806" s="7">
        <v>7</v>
      </c>
      <c r="Q806" s="7">
        <v>7</v>
      </c>
      <c r="R806" s="7">
        <v>7</v>
      </c>
    </row>
    <row r="807" spans="1:18" ht="17" customHeight="1" x14ac:dyDescent="0.2">
      <c r="A807" s="10" t="s">
        <v>3381</v>
      </c>
      <c r="B807" s="11" t="s">
        <v>3382</v>
      </c>
      <c r="C807" s="10" t="s">
        <v>3383</v>
      </c>
      <c r="D807" s="10" t="s">
        <v>3383</v>
      </c>
      <c r="E807" s="10" t="s">
        <v>3384</v>
      </c>
      <c r="F807" s="10" t="s">
        <v>149</v>
      </c>
      <c r="G807" s="10" t="s">
        <v>293</v>
      </c>
      <c r="H807" s="10" t="s">
        <v>74</v>
      </c>
      <c r="I807" s="10" t="str">
        <f>HYPERLINK("http://odintacticalgear.com/","odintacticalgear.com")</f>
        <v>odintacticalgear.com</v>
      </c>
      <c r="J807" s="12">
        <v>558.60500000000002</v>
      </c>
      <c r="K807" s="12">
        <v>558.60500000000002</v>
      </c>
      <c r="L807" s="12">
        <v>767.02800000000002</v>
      </c>
      <c r="M807" s="12">
        <v>13.372</v>
      </c>
      <c r="N807" s="12">
        <v>13.372</v>
      </c>
      <c r="O807" s="12">
        <v>9.24</v>
      </c>
      <c r="P807" s="12">
        <v>6</v>
      </c>
      <c r="Q807" s="12">
        <v>6</v>
      </c>
      <c r="R807" s="12">
        <v>3</v>
      </c>
    </row>
    <row r="808" spans="1:18" ht="17" customHeight="1" x14ac:dyDescent="0.2">
      <c r="A808" s="5" t="s">
        <v>3385</v>
      </c>
      <c r="B808" s="6" t="s">
        <v>3386</v>
      </c>
      <c r="C808" s="5" t="s">
        <v>3387</v>
      </c>
      <c r="D808" s="5" t="s">
        <v>3387</v>
      </c>
      <c r="E808" s="5" t="s">
        <v>3388</v>
      </c>
      <c r="F808" s="5" t="s">
        <v>114</v>
      </c>
      <c r="G808" s="5" t="s">
        <v>381</v>
      </c>
      <c r="H808" s="5" t="s">
        <v>23</v>
      </c>
      <c r="I808" s="5" t="str">
        <f>HYPERLINK("http://www.clo-ser.it/","www.clo-ser.it")</f>
        <v>www.clo-ser.it</v>
      </c>
      <c r="J808" s="7">
        <v>1170.383</v>
      </c>
      <c r="K808" s="7">
        <v>1170.383</v>
      </c>
      <c r="L808" s="8">
        <v>766.24699999999996</v>
      </c>
      <c r="M808" s="7">
        <v>29.03</v>
      </c>
      <c r="N808" s="7">
        <v>29.03</v>
      </c>
      <c r="O808" s="7">
        <v>-82.686999999999998</v>
      </c>
      <c r="P808" s="7">
        <v>8</v>
      </c>
      <c r="Q808" s="7">
        <v>8</v>
      </c>
      <c r="R808" s="7">
        <v>9</v>
      </c>
    </row>
    <row r="809" spans="1:18" ht="17" customHeight="1" x14ac:dyDescent="0.2">
      <c r="A809" s="10" t="s">
        <v>3389</v>
      </c>
      <c r="B809" s="11" t="s">
        <v>3390</v>
      </c>
      <c r="C809" s="10" t="s">
        <v>3391</v>
      </c>
      <c r="D809" s="10" t="s">
        <v>3391</v>
      </c>
      <c r="E809" s="10" t="s">
        <v>3392</v>
      </c>
      <c r="F809" s="10" t="s">
        <v>54</v>
      </c>
      <c r="G809" s="10" t="s">
        <v>61</v>
      </c>
      <c r="H809" s="10" t="s">
        <v>62</v>
      </c>
      <c r="I809" s="10" t="str">
        <f>HYPERLINK("http://www.marianosrl.it/","www.marianosrl.it")</f>
        <v>www.marianosrl.it</v>
      </c>
      <c r="J809" s="12">
        <v>804.84699999999998</v>
      </c>
      <c r="K809" s="12">
        <v>804.84699999999998</v>
      </c>
      <c r="L809" s="12">
        <v>766.11</v>
      </c>
      <c r="M809" s="12">
        <v>20.283999999999999</v>
      </c>
      <c r="N809" s="12">
        <v>20.283999999999999</v>
      </c>
      <c r="O809" s="12">
        <v>15.695</v>
      </c>
      <c r="P809" s="13" t="s">
        <v>24</v>
      </c>
      <c r="Q809" s="13" t="s">
        <v>24</v>
      </c>
      <c r="R809" s="12">
        <v>12</v>
      </c>
    </row>
    <row r="810" spans="1:18" ht="17" customHeight="1" x14ac:dyDescent="0.2">
      <c r="A810" s="5" t="s">
        <v>3393</v>
      </c>
      <c r="B810" s="6" t="s">
        <v>3394</v>
      </c>
      <c r="C810" s="5" t="s">
        <v>3395</v>
      </c>
      <c r="D810" s="5" t="s">
        <v>3395</v>
      </c>
      <c r="E810" s="5" t="s">
        <v>3396</v>
      </c>
      <c r="F810" s="5" t="s">
        <v>482</v>
      </c>
      <c r="G810" s="5" t="s">
        <v>190</v>
      </c>
      <c r="H810" s="5" t="s">
        <v>74</v>
      </c>
      <c r="I810" s="5" t="str">
        <f>HYPERLINK("http://www.faustocolato.it/","www.faustocolato.it")</f>
        <v>www.faustocolato.it</v>
      </c>
      <c r="J810" s="7">
        <v>856.20100000000002</v>
      </c>
      <c r="K810" s="7">
        <v>856.20100000000002</v>
      </c>
      <c r="L810" s="8">
        <v>765.93899999999996</v>
      </c>
      <c r="M810" s="7">
        <v>1.091</v>
      </c>
      <c r="N810" s="7">
        <v>1.091</v>
      </c>
      <c r="O810" s="7">
        <v>1.6659999999999999</v>
      </c>
      <c r="P810" s="7">
        <v>9</v>
      </c>
      <c r="Q810" s="7">
        <v>9</v>
      </c>
      <c r="R810" s="7">
        <v>9</v>
      </c>
    </row>
    <row r="811" spans="1:18" ht="17" customHeight="1" x14ac:dyDescent="0.2">
      <c r="A811" s="10" t="s">
        <v>3397</v>
      </c>
      <c r="B811" s="11" t="s">
        <v>3398</v>
      </c>
      <c r="C811" s="10" t="s">
        <v>3399</v>
      </c>
      <c r="D811" s="10" t="s">
        <v>3399</v>
      </c>
      <c r="E811" s="10" t="s">
        <v>3400</v>
      </c>
      <c r="F811" s="10" t="s">
        <v>149</v>
      </c>
      <c r="G811" s="10" t="s">
        <v>100</v>
      </c>
      <c r="H811" s="10" t="s">
        <v>62</v>
      </c>
      <c r="I811" s="10" t="str">
        <f>HYPERLINK("http://www.smmrbeachwear.com/","www.smmrbeachwear.com")</f>
        <v>www.smmrbeachwear.com</v>
      </c>
      <c r="J811" s="12">
        <v>430.887</v>
      </c>
      <c r="K811" s="12">
        <v>430.887</v>
      </c>
      <c r="L811" s="12">
        <v>765.33799999999997</v>
      </c>
      <c r="M811" s="12">
        <v>4.8959999999999999</v>
      </c>
      <c r="N811" s="12">
        <v>4.8959999999999999</v>
      </c>
      <c r="O811" s="12">
        <v>23.965</v>
      </c>
      <c r="P811" s="13" t="s">
        <v>24</v>
      </c>
      <c r="Q811" s="13" t="s">
        <v>24</v>
      </c>
      <c r="R811" s="12">
        <v>6</v>
      </c>
    </row>
    <row r="812" spans="1:18" ht="17" customHeight="1" x14ac:dyDescent="0.2">
      <c r="A812" s="5" t="s">
        <v>3401</v>
      </c>
      <c r="B812" s="6" t="s">
        <v>3402</v>
      </c>
      <c r="C812" s="5" t="s">
        <v>3403</v>
      </c>
      <c r="D812" s="5" t="s">
        <v>3403</v>
      </c>
      <c r="E812" s="5" t="s">
        <v>3404</v>
      </c>
      <c r="F812" s="5" t="s">
        <v>181</v>
      </c>
      <c r="G812" s="5" t="s">
        <v>190</v>
      </c>
      <c r="H812" s="5" t="s">
        <v>74</v>
      </c>
      <c r="I812" s="5" t="str">
        <f>HYPERLINK("http://www.fratelligrimaldi.com/","www.fratelligrimaldi.com")</f>
        <v>www.fratelligrimaldi.com</v>
      </c>
      <c r="J812" s="7">
        <v>356.96699999999998</v>
      </c>
      <c r="K812" s="7">
        <v>356.96699999999998</v>
      </c>
      <c r="L812" s="8">
        <v>763.84100000000001</v>
      </c>
      <c r="M812" s="7">
        <v>-97.198999999999998</v>
      </c>
      <c r="N812" s="7">
        <v>-97.198999999999998</v>
      </c>
      <c r="O812" s="7">
        <v>3.6739999999999999</v>
      </c>
      <c r="P812" s="7">
        <v>8</v>
      </c>
      <c r="Q812" s="7">
        <v>8</v>
      </c>
      <c r="R812" s="7">
        <v>9</v>
      </c>
    </row>
    <row r="813" spans="1:18" ht="29.5" customHeight="1" x14ac:dyDescent="0.2">
      <c r="A813" s="10" t="s">
        <v>3405</v>
      </c>
      <c r="B813" s="11" t="s">
        <v>3406</v>
      </c>
      <c r="C813" s="10" t="s">
        <v>3407</v>
      </c>
      <c r="D813" s="10" t="s">
        <v>3407</v>
      </c>
      <c r="E813" s="10" t="s">
        <v>3408</v>
      </c>
      <c r="F813" s="10" t="s">
        <v>21</v>
      </c>
      <c r="G813" s="10" t="s">
        <v>79</v>
      </c>
      <c r="H813" s="10" t="s">
        <v>56</v>
      </c>
      <c r="I813" s="10" t="str">
        <f>HYPERLINK("http://www.violafonti.it/","www.violafonti.it")</f>
        <v>www.violafonti.it</v>
      </c>
      <c r="J813" s="12">
        <v>949.22500000000002</v>
      </c>
      <c r="K813" s="12">
        <v>949.22500000000002</v>
      </c>
      <c r="L813" s="12">
        <v>763.41899999999998</v>
      </c>
      <c r="M813" s="12">
        <v>38.146000000000001</v>
      </c>
      <c r="N813" s="12">
        <v>38.146000000000001</v>
      </c>
      <c r="O813" s="12">
        <v>36.795999999999999</v>
      </c>
      <c r="P813" s="13" t="s">
        <v>24</v>
      </c>
      <c r="Q813" s="13" t="s">
        <v>24</v>
      </c>
      <c r="R813" s="12">
        <v>5</v>
      </c>
    </row>
    <row r="814" spans="1:18" ht="29.5" customHeight="1" x14ac:dyDescent="0.2">
      <c r="A814" s="5" t="s">
        <v>3409</v>
      </c>
      <c r="B814" s="6" t="s">
        <v>3410</v>
      </c>
      <c r="C814" s="5" t="s">
        <v>3411</v>
      </c>
      <c r="D814" s="5" t="s">
        <v>3411</v>
      </c>
      <c r="E814" s="5" t="s">
        <v>3412</v>
      </c>
      <c r="F814" s="5" t="s">
        <v>99</v>
      </c>
      <c r="G814" s="5" t="s">
        <v>253</v>
      </c>
      <c r="H814" s="5" t="s">
        <v>56</v>
      </c>
      <c r="I814" s="5" t="str">
        <f>HYPERLINK("http://www.leatherconcepts.it/","www.leatherconcepts.it")</f>
        <v>www.leatherconcepts.it</v>
      </c>
      <c r="J814" s="7">
        <v>851.09299999999996</v>
      </c>
      <c r="K814" s="7">
        <v>851.09299999999996</v>
      </c>
      <c r="L814" s="8">
        <v>762.60599999999999</v>
      </c>
      <c r="M814" s="7">
        <v>2.9510000000000001</v>
      </c>
      <c r="N814" s="7">
        <v>2.9510000000000001</v>
      </c>
      <c r="O814" s="7">
        <v>4.5049999999999999</v>
      </c>
      <c r="P814" s="7">
        <v>3</v>
      </c>
      <c r="Q814" s="7">
        <v>3</v>
      </c>
      <c r="R814" s="7">
        <v>2</v>
      </c>
    </row>
    <row r="815" spans="1:18" ht="17" customHeight="1" x14ac:dyDescent="0.2">
      <c r="A815" s="10" t="s">
        <v>3413</v>
      </c>
      <c r="B815" s="11" t="s">
        <v>3414</v>
      </c>
      <c r="C815" s="10" t="s">
        <v>3415</v>
      </c>
      <c r="D815" s="10" t="s">
        <v>3415</v>
      </c>
      <c r="E815" s="10" t="s">
        <v>3416</v>
      </c>
      <c r="F815" s="10" t="s">
        <v>29</v>
      </c>
      <c r="G815" s="10" t="s">
        <v>211</v>
      </c>
      <c r="H815" s="10" t="s">
        <v>74</v>
      </c>
      <c r="I815" s="10" t="str">
        <f>HYPERLINK("http://www.sophiestique.it/","www.sophiestique.it")</f>
        <v>www.sophiestique.it</v>
      </c>
      <c r="J815" s="12">
        <v>834.99400000000003</v>
      </c>
      <c r="K815" s="12">
        <v>834.99400000000003</v>
      </c>
      <c r="L815" s="12">
        <v>761.71100000000001</v>
      </c>
      <c r="M815" s="12">
        <v>7.7690000000000001</v>
      </c>
      <c r="N815" s="12">
        <v>7.7690000000000001</v>
      </c>
      <c r="O815" s="12">
        <v>23.518999999999998</v>
      </c>
      <c r="P815" s="12">
        <v>11</v>
      </c>
      <c r="Q815" s="12">
        <v>11</v>
      </c>
      <c r="R815" s="12">
        <v>9</v>
      </c>
    </row>
    <row r="816" spans="1:18" ht="17" customHeight="1" x14ac:dyDescent="0.2">
      <c r="A816" s="5" t="s">
        <v>3417</v>
      </c>
      <c r="B816" s="6" t="s">
        <v>3418</v>
      </c>
      <c r="C816" s="5" t="s">
        <v>3419</v>
      </c>
      <c r="D816" s="5" t="s">
        <v>3419</v>
      </c>
      <c r="E816" s="5" t="s">
        <v>3420</v>
      </c>
      <c r="F816" s="5" t="s">
        <v>54</v>
      </c>
      <c r="G816" s="5" t="s">
        <v>79</v>
      </c>
      <c r="H816" s="5" t="s">
        <v>56</v>
      </c>
      <c r="I816" s="5" t="str">
        <f>HYPERLINK("http://www.solettificiomarco.it/","www.solettificiomarco.it")</f>
        <v>www.solettificiomarco.it</v>
      </c>
      <c r="J816" s="7">
        <v>638.04899999999998</v>
      </c>
      <c r="K816" s="7">
        <v>638.04899999999998</v>
      </c>
      <c r="L816" s="8">
        <v>761.63699999999994</v>
      </c>
      <c r="M816" s="7">
        <v>1.752</v>
      </c>
      <c r="N816" s="7">
        <v>1.752</v>
      </c>
      <c r="O816" s="7">
        <v>-89.537000000000006</v>
      </c>
      <c r="P816" s="7">
        <v>9</v>
      </c>
      <c r="Q816" s="7">
        <v>9</v>
      </c>
      <c r="R816" s="7">
        <v>8</v>
      </c>
    </row>
    <row r="817" spans="1:18" ht="17" customHeight="1" x14ac:dyDescent="0.2">
      <c r="A817" s="10" t="s">
        <v>3421</v>
      </c>
      <c r="B817" s="11" t="s">
        <v>3422</v>
      </c>
      <c r="C817" s="10" t="s">
        <v>3423</v>
      </c>
      <c r="D817" s="10" t="s">
        <v>3423</v>
      </c>
      <c r="E817" s="10" t="s">
        <v>3424</v>
      </c>
      <c r="F817" s="10" t="s">
        <v>462</v>
      </c>
      <c r="G817" s="10" t="s">
        <v>30</v>
      </c>
      <c r="H817" s="10" t="s">
        <v>31</v>
      </c>
      <c r="I817" s="10" t="str">
        <f>HYPERLINK("http://www.vicocaroli.com/","www.vicocaroli.com")</f>
        <v>www.vicocaroli.com</v>
      </c>
      <c r="J817" s="12">
        <v>1083.5989999999999</v>
      </c>
      <c r="K817" s="12">
        <v>1083.5989999999999</v>
      </c>
      <c r="L817" s="12">
        <v>760.61199999999997</v>
      </c>
      <c r="M817" s="12">
        <v>53.597000000000001</v>
      </c>
      <c r="N817" s="12">
        <v>53.597000000000001</v>
      </c>
      <c r="O817" s="12">
        <v>13.864000000000001</v>
      </c>
      <c r="P817" s="13" t="s">
        <v>24</v>
      </c>
      <c r="Q817" s="13" t="s">
        <v>24</v>
      </c>
      <c r="R817" s="12">
        <v>1</v>
      </c>
    </row>
    <row r="818" spans="1:18" ht="17" customHeight="1" x14ac:dyDescent="0.2">
      <c r="A818" s="5" t="s">
        <v>3425</v>
      </c>
      <c r="B818" s="6" t="s">
        <v>3426</v>
      </c>
      <c r="C818" s="5" t="s">
        <v>3427</v>
      </c>
      <c r="D818" s="5" t="s">
        <v>3427</v>
      </c>
      <c r="E818" s="5" t="s">
        <v>3428</v>
      </c>
      <c r="F818" s="5" t="s">
        <v>149</v>
      </c>
      <c r="G818" s="5" t="s">
        <v>140</v>
      </c>
      <c r="H818" s="5" t="s">
        <v>43</v>
      </c>
      <c r="I818" s="5" t="str">
        <f>HYPERLINK("http://volatastore.com/","volatastore.com")</f>
        <v>volatastore.com</v>
      </c>
      <c r="J818" s="7">
        <v>722.3</v>
      </c>
      <c r="K818" s="7">
        <v>722.3</v>
      </c>
      <c r="L818" s="8">
        <v>758.81700000000001</v>
      </c>
      <c r="M818" s="7">
        <v>2.1110000000000002</v>
      </c>
      <c r="N818" s="7">
        <v>2.1110000000000002</v>
      </c>
      <c r="O818" s="7">
        <v>-1.042</v>
      </c>
      <c r="P818" s="7">
        <v>5</v>
      </c>
      <c r="Q818" s="7">
        <v>5</v>
      </c>
      <c r="R818" s="7">
        <v>5</v>
      </c>
    </row>
    <row r="819" spans="1:18" ht="17" customHeight="1" x14ac:dyDescent="0.2">
      <c r="A819" s="10" t="s">
        <v>3429</v>
      </c>
      <c r="B819" s="11" t="s">
        <v>3430</v>
      </c>
      <c r="C819" s="10" t="s">
        <v>3431</v>
      </c>
      <c r="D819" s="10" t="s">
        <v>3432</v>
      </c>
      <c r="E819" s="10" t="s">
        <v>3433</v>
      </c>
      <c r="F819" s="10" t="s">
        <v>114</v>
      </c>
      <c r="G819" s="10" t="s">
        <v>308</v>
      </c>
      <c r="H819" s="10" t="s">
        <v>299</v>
      </c>
      <c r="I819" s="10" t="str">
        <f>HYPERLINK("http://www.ginaitaly.it/","www.ginaitaly.it")</f>
        <v>www.ginaitaly.it</v>
      </c>
      <c r="J819" s="12">
        <v>950.471</v>
      </c>
      <c r="K819" s="12">
        <v>950.471</v>
      </c>
      <c r="L819" s="12">
        <v>758.17100000000005</v>
      </c>
      <c r="M819" s="12">
        <v>109.41800000000001</v>
      </c>
      <c r="N819" s="12">
        <v>109.41800000000001</v>
      </c>
      <c r="O819" s="12">
        <v>21.634</v>
      </c>
      <c r="P819" s="12">
        <v>5</v>
      </c>
      <c r="Q819" s="12">
        <v>5</v>
      </c>
      <c r="R819" s="12">
        <v>5</v>
      </c>
    </row>
    <row r="820" spans="1:18" ht="17" customHeight="1" x14ac:dyDescent="0.2">
      <c r="A820" s="5" t="s">
        <v>3434</v>
      </c>
      <c r="B820" s="6" t="s">
        <v>3435</v>
      </c>
      <c r="C820" s="5" t="s">
        <v>3436</v>
      </c>
      <c r="D820" s="5" t="s">
        <v>3436</v>
      </c>
      <c r="E820" s="5" t="s">
        <v>3437</v>
      </c>
      <c r="F820" s="5" t="s">
        <v>114</v>
      </c>
      <c r="G820" s="5" t="s">
        <v>1210</v>
      </c>
      <c r="H820" s="5" t="s">
        <v>1132</v>
      </c>
      <c r="I820" s="5" t="str">
        <f>HYPERLINK("http://atelierbomba.com/","atelierbomba.com")</f>
        <v>atelierbomba.com</v>
      </c>
      <c r="J820" s="7">
        <v>666.16899999999998</v>
      </c>
      <c r="K820" s="7">
        <v>666.16899999999998</v>
      </c>
      <c r="L820" s="8">
        <v>757.08100000000002</v>
      </c>
      <c r="M820" s="7">
        <v>36.947000000000003</v>
      </c>
      <c r="N820" s="7">
        <v>36.947000000000003</v>
      </c>
      <c r="O820" s="7">
        <v>6.6079999999999997</v>
      </c>
      <c r="P820" s="7">
        <v>5</v>
      </c>
      <c r="Q820" s="7">
        <v>5</v>
      </c>
      <c r="R820" s="7">
        <v>4</v>
      </c>
    </row>
    <row r="821" spans="1:18" ht="29.5" customHeight="1" x14ac:dyDescent="0.2">
      <c r="A821" s="10" t="s">
        <v>3438</v>
      </c>
      <c r="B821" s="11" t="s">
        <v>3439</v>
      </c>
      <c r="C821" s="10" t="s">
        <v>3440</v>
      </c>
      <c r="D821" s="10" t="s">
        <v>3440</v>
      </c>
      <c r="E821" s="10" t="s">
        <v>3441</v>
      </c>
      <c r="F821" s="10" t="s">
        <v>41</v>
      </c>
      <c r="G821" s="10" t="s">
        <v>42</v>
      </c>
      <c r="H821" s="10" t="s">
        <v>43</v>
      </c>
      <c r="I821" s="10" t="str">
        <f>HYPERLINK("http://www.calorsrl.com/","www.calorsrl.com")</f>
        <v>www.calorsrl.com</v>
      </c>
      <c r="J821" s="12">
        <v>791.09500000000003</v>
      </c>
      <c r="K821" s="12">
        <v>791.09500000000003</v>
      </c>
      <c r="L821" s="12">
        <v>756.601</v>
      </c>
      <c r="M821" s="12">
        <v>84.459000000000003</v>
      </c>
      <c r="N821" s="12">
        <v>84.459000000000003</v>
      </c>
      <c r="O821" s="12">
        <v>23.041</v>
      </c>
      <c r="P821" s="12">
        <v>7</v>
      </c>
      <c r="Q821" s="12">
        <v>7</v>
      </c>
      <c r="R821" s="12">
        <v>6</v>
      </c>
    </row>
    <row r="822" spans="1:18" ht="17" customHeight="1" x14ac:dyDescent="0.2">
      <c r="A822" s="5" t="s">
        <v>3442</v>
      </c>
      <c r="B822" s="6" t="s">
        <v>3443</v>
      </c>
      <c r="C822" s="5" t="s">
        <v>3444</v>
      </c>
      <c r="D822" s="5" t="s">
        <v>3444</v>
      </c>
      <c r="E822" s="5" t="s">
        <v>3445</v>
      </c>
      <c r="F822" s="5" t="s">
        <v>114</v>
      </c>
      <c r="G822" s="5" t="s">
        <v>115</v>
      </c>
      <c r="H822" s="5" t="s">
        <v>43</v>
      </c>
      <c r="I822" s="5" t="str">
        <f>HYPERLINK("http://www.progettomodapadova.com/","www.progettomodapadova.com")</f>
        <v>www.progettomodapadova.com</v>
      </c>
      <c r="J822" s="7">
        <v>471.20299999999997</v>
      </c>
      <c r="K822" s="7">
        <v>471.20299999999997</v>
      </c>
      <c r="L822" s="8">
        <v>756.26599999999996</v>
      </c>
      <c r="M822" s="7">
        <v>2.343</v>
      </c>
      <c r="N822" s="7">
        <v>2.343</v>
      </c>
      <c r="O822" s="7">
        <v>3.2549999999999999</v>
      </c>
      <c r="P822" s="9" t="s">
        <v>24</v>
      </c>
      <c r="Q822" s="9" t="s">
        <v>24</v>
      </c>
      <c r="R822" s="7">
        <v>0</v>
      </c>
    </row>
    <row r="823" spans="1:18" ht="17" customHeight="1" x14ac:dyDescent="0.2">
      <c r="A823" s="10" t="s">
        <v>3446</v>
      </c>
      <c r="B823" s="11" t="s">
        <v>3447</v>
      </c>
      <c r="C823" s="10" t="s">
        <v>3448</v>
      </c>
      <c r="D823" s="10" t="s">
        <v>3448</v>
      </c>
      <c r="E823" s="10" t="s">
        <v>3449</v>
      </c>
      <c r="F823" s="10" t="s">
        <v>105</v>
      </c>
      <c r="G823" s="10" t="s">
        <v>79</v>
      </c>
      <c r="H823" s="10" t="s">
        <v>56</v>
      </c>
      <c r="I823" s="10" t="str">
        <f>HYPERLINK("http://ferrucciovecchi.com/?l=it","ferrucciovecchi.com?l=it")</f>
        <v>ferrucciovecchi.com?l=it</v>
      </c>
      <c r="J823" s="12">
        <v>705.86199999999997</v>
      </c>
      <c r="K823" s="12">
        <v>705.86199999999997</v>
      </c>
      <c r="L823" s="12">
        <v>755.49</v>
      </c>
      <c r="M823" s="12">
        <v>20.033000000000001</v>
      </c>
      <c r="N823" s="12">
        <v>20.033000000000001</v>
      </c>
      <c r="O823" s="12">
        <v>21.06</v>
      </c>
      <c r="P823" s="12">
        <v>10</v>
      </c>
      <c r="Q823" s="12">
        <v>10</v>
      </c>
      <c r="R823" s="12">
        <v>10</v>
      </c>
    </row>
    <row r="824" spans="1:18" ht="17" customHeight="1" x14ac:dyDescent="0.2">
      <c r="A824" s="5" t="s">
        <v>3450</v>
      </c>
      <c r="B824" s="6" t="s">
        <v>3451</v>
      </c>
      <c r="C824" s="5" t="s">
        <v>3452</v>
      </c>
      <c r="D824" s="5" t="s">
        <v>3452</v>
      </c>
      <c r="E824" s="5" t="s">
        <v>3453</v>
      </c>
      <c r="F824" s="5" t="s">
        <v>29</v>
      </c>
      <c r="G824" s="5" t="s">
        <v>158</v>
      </c>
      <c r="H824" s="5" t="s">
        <v>159</v>
      </c>
      <c r="I824" s="5" t="str">
        <f>HYPERLINK("http://www.upholsteryitaldesign.com/","www.upholsteryitaldesign.com")</f>
        <v>www.upholsteryitaldesign.com</v>
      </c>
      <c r="J824" s="7">
        <v>716.05200000000002</v>
      </c>
      <c r="K824" s="7">
        <v>716.05200000000002</v>
      </c>
      <c r="L824" s="8">
        <v>755.173</v>
      </c>
      <c r="M824" s="7">
        <v>534.62099999999998</v>
      </c>
      <c r="N824" s="7">
        <v>534.62099999999998</v>
      </c>
      <c r="O824" s="7">
        <v>192.96299999999999</v>
      </c>
      <c r="P824" s="7">
        <v>19</v>
      </c>
      <c r="Q824" s="7">
        <v>19</v>
      </c>
      <c r="R824" s="7">
        <v>20</v>
      </c>
    </row>
    <row r="825" spans="1:18" ht="17" customHeight="1" x14ac:dyDescent="0.2">
      <c r="A825" s="10" t="s">
        <v>3454</v>
      </c>
      <c r="B825" s="11" t="s">
        <v>3455</v>
      </c>
      <c r="C825" s="10" t="s">
        <v>3456</v>
      </c>
      <c r="D825" s="10" t="s">
        <v>3456</v>
      </c>
      <c r="E825" s="10" t="s">
        <v>3457</v>
      </c>
      <c r="F825" s="10" t="s">
        <v>29</v>
      </c>
      <c r="G825" s="10" t="s">
        <v>158</v>
      </c>
      <c r="H825" s="10" t="s">
        <v>159</v>
      </c>
      <c r="I825" s="10" t="str">
        <f>HYPERLINK("http://www.gledsrl.com/","www.gledsrl.com")</f>
        <v>www.gledsrl.com</v>
      </c>
      <c r="J825" s="12">
        <v>1013.704</v>
      </c>
      <c r="K825" s="12">
        <v>1013.704</v>
      </c>
      <c r="L825" s="12">
        <v>754.51300000000003</v>
      </c>
      <c r="M825" s="12">
        <v>2.2749999999999999</v>
      </c>
      <c r="N825" s="12">
        <v>2.2749999999999999</v>
      </c>
      <c r="O825" s="12">
        <v>1.4910000000000001</v>
      </c>
      <c r="P825" s="12">
        <v>4</v>
      </c>
      <c r="Q825" s="12">
        <v>4</v>
      </c>
      <c r="R825" s="12">
        <v>3</v>
      </c>
    </row>
    <row r="826" spans="1:18" ht="17" customHeight="1" x14ac:dyDescent="0.2">
      <c r="A826" s="5" t="s">
        <v>3458</v>
      </c>
      <c r="B826" s="6" t="s">
        <v>3459</v>
      </c>
      <c r="C826" s="5" t="s">
        <v>3460</v>
      </c>
      <c r="D826" s="5" t="s">
        <v>3460</v>
      </c>
      <c r="E826" s="5" t="s">
        <v>3461</v>
      </c>
      <c r="F826" s="5" t="s">
        <v>105</v>
      </c>
      <c r="G826" s="5" t="s">
        <v>100</v>
      </c>
      <c r="H826" s="5" t="s">
        <v>62</v>
      </c>
      <c r="I826" s="5" t="str">
        <f>HYPERLINK("http://parisigloves.it/","parisigloves.it")</f>
        <v>parisigloves.it</v>
      </c>
      <c r="J826" s="7">
        <v>751.95399999999995</v>
      </c>
      <c r="K826" s="7">
        <v>751.95399999999995</v>
      </c>
      <c r="L826" s="8">
        <v>753.36500000000001</v>
      </c>
      <c r="M826" s="7">
        <v>26.620999999999999</v>
      </c>
      <c r="N826" s="7">
        <v>26.620999999999999</v>
      </c>
      <c r="O826" s="7">
        <v>51.094000000000001</v>
      </c>
      <c r="P826" s="7">
        <v>4</v>
      </c>
      <c r="Q826" s="7">
        <v>4</v>
      </c>
      <c r="R826" s="7">
        <v>5</v>
      </c>
    </row>
    <row r="827" spans="1:18" ht="17" customHeight="1" x14ac:dyDescent="0.2">
      <c r="A827" s="10" t="s">
        <v>3462</v>
      </c>
      <c r="B827" s="11" t="s">
        <v>3463</v>
      </c>
      <c r="C827" s="10" t="s">
        <v>3464</v>
      </c>
      <c r="D827" s="10" t="s">
        <v>3464</v>
      </c>
      <c r="E827" s="10" t="s">
        <v>3465</v>
      </c>
      <c r="F827" s="10" t="s">
        <v>114</v>
      </c>
      <c r="G827" s="10" t="s">
        <v>100</v>
      </c>
      <c r="H827" s="10" t="s">
        <v>62</v>
      </c>
      <c r="I827" s="10" t="str">
        <f>HYPERLINK("http://www.mondeitalianfashion.it/","www.mondeitalianfashion.it")</f>
        <v>www.mondeitalianfashion.it</v>
      </c>
      <c r="J827" s="12">
        <v>655.83600000000001</v>
      </c>
      <c r="K827" s="12">
        <v>655.83600000000001</v>
      </c>
      <c r="L827" s="12">
        <v>752.06</v>
      </c>
      <c r="M827" s="12">
        <v>43.436999999999998</v>
      </c>
      <c r="N827" s="12">
        <v>43.436999999999998</v>
      </c>
      <c r="O827" s="12">
        <v>40.627000000000002</v>
      </c>
      <c r="P827" s="12">
        <v>0</v>
      </c>
      <c r="Q827" s="12">
        <v>0</v>
      </c>
      <c r="R827" s="12">
        <v>0</v>
      </c>
    </row>
    <row r="828" spans="1:18" ht="17" customHeight="1" x14ac:dyDescent="0.2">
      <c r="A828" s="5" t="s">
        <v>3466</v>
      </c>
      <c r="B828" s="6" t="s">
        <v>3467</v>
      </c>
      <c r="C828" s="5" t="s">
        <v>3468</v>
      </c>
      <c r="D828" s="5" t="s">
        <v>3468</v>
      </c>
      <c r="E828" s="5" t="s">
        <v>3469</v>
      </c>
      <c r="F828" s="5" t="s">
        <v>134</v>
      </c>
      <c r="G828" s="5" t="s">
        <v>49</v>
      </c>
      <c r="H828" s="5" t="s">
        <v>23</v>
      </c>
      <c r="I828" s="5" t="str">
        <f>HYPERLINK("http://www.rsatelier.it/","www.rsatelier.it")</f>
        <v>www.rsatelier.it</v>
      </c>
      <c r="J828" s="7">
        <v>848.53499999999997</v>
      </c>
      <c r="K828" s="7">
        <v>848.53499999999997</v>
      </c>
      <c r="L828" s="8">
        <v>751.73199999999997</v>
      </c>
      <c r="M828" s="7">
        <v>35.415999999999997</v>
      </c>
      <c r="N828" s="7">
        <v>35.415999999999997</v>
      </c>
      <c r="O828" s="7">
        <v>-13.616</v>
      </c>
      <c r="P828" s="7">
        <v>10</v>
      </c>
      <c r="Q828" s="7">
        <v>10</v>
      </c>
      <c r="R828" s="7">
        <v>9</v>
      </c>
    </row>
    <row r="829" spans="1:18" ht="17" customHeight="1" x14ac:dyDescent="0.2">
      <c r="A829" s="10" t="s">
        <v>3470</v>
      </c>
      <c r="B829" s="11" t="s">
        <v>3471</v>
      </c>
      <c r="C829" s="10" t="s">
        <v>3472</v>
      </c>
      <c r="D829" s="10" t="s">
        <v>3472</v>
      </c>
      <c r="E829" s="10" t="s">
        <v>3473</v>
      </c>
      <c r="F829" s="10" t="s">
        <v>105</v>
      </c>
      <c r="G829" s="10" t="s">
        <v>36</v>
      </c>
      <c r="H829" s="10" t="s">
        <v>23</v>
      </c>
      <c r="I829" s="10" t="str">
        <f>HYPERLINK("http://www.labens.it/","www.labens.it")</f>
        <v>www.labens.it</v>
      </c>
      <c r="J829" s="12">
        <v>703.68700000000001</v>
      </c>
      <c r="K829" s="12">
        <v>703.68700000000001</v>
      </c>
      <c r="L829" s="12">
        <v>751.74699999999996</v>
      </c>
      <c r="M829" s="12">
        <v>21.07</v>
      </c>
      <c r="N829" s="12">
        <v>21.07</v>
      </c>
      <c r="O829" s="12">
        <v>84.373000000000005</v>
      </c>
      <c r="P829" s="12">
        <v>6</v>
      </c>
      <c r="Q829" s="12">
        <v>6</v>
      </c>
      <c r="R829" s="12">
        <v>3</v>
      </c>
    </row>
    <row r="830" spans="1:18" ht="17" customHeight="1" x14ac:dyDescent="0.2">
      <c r="A830" s="5" t="s">
        <v>3474</v>
      </c>
      <c r="B830" s="6" t="s">
        <v>3290</v>
      </c>
      <c r="C830" s="5" t="s">
        <v>3475</v>
      </c>
      <c r="D830" s="5" t="s">
        <v>3475</v>
      </c>
      <c r="E830" s="5" t="s">
        <v>3476</v>
      </c>
      <c r="F830" s="5" t="s">
        <v>21</v>
      </c>
      <c r="G830" s="5" t="s">
        <v>67</v>
      </c>
      <c r="H830" s="5" t="s">
        <v>43</v>
      </c>
      <c r="I830" s="5" t="str">
        <f>HYPERLINK("http://www.carrarovenezia.com/","www.carrarovenezia.com")</f>
        <v>www.carrarovenezia.com</v>
      </c>
      <c r="J830" s="7">
        <v>576.34900000000005</v>
      </c>
      <c r="K830" s="7">
        <v>576.34900000000005</v>
      </c>
      <c r="L830" s="8">
        <v>751.67600000000004</v>
      </c>
      <c r="M830" s="7">
        <v>3.7639999999999998</v>
      </c>
      <c r="N830" s="7">
        <v>3.7639999999999998</v>
      </c>
      <c r="O830" s="7">
        <v>2.673</v>
      </c>
      <c r="P830" s="7">
        <v>11</v>
      </c>
      <c r="Q830" s="7">
        <v>11</v>
      </c>
      <c r="R830" s="7">
        <v>12</v>
      </c>
    </row>
    <row r="831" spans="1:18" ht="17" customHeight="1" x14ac:dyDescent="0.2">
      <c r="A831" s="10" t="s">
        <v>3477</v>
      </c>
      <c r="B831" s="11" t="s">
        <v>3478</v>
      </c>
      <c r="C831" s="10" t="s">
        <v>3479</v>
      </c>
      <c r="D831" s="10" t="s">
        <v>3479</v>
      </c>
      <c r="E831" s="10" t="s">
        <v>3480</v>
      </c>
      <c r="F831" s="10" t="s">
        <v>181</v>
      </c>
      <c r="G831" s="10" t="s">
        <v>229</v>
      </c>
      <c r="H831" s="10" t="s">
        <v>31</v>
      </c>
      <c r="I831" s="10" t="str">
        <f>HYPERLINK("http://gordon-1952.it/","gordon-1952.it")</f>
        <v>gordon-1952.it</v>
      </c>
      <c r="J831" s="12">
        <v>768.01900000000001</v>
      </c>
      <c r="K831" s="12">
        <v>768.01900000000001</v>
      </c>
      <c r="L831" s="12">
        <v>749.75800000000004</v>
      </c>
      <c r="M831" s="12">
        <v>21.260999999999999</v>
      </c>
      <c r="N831" s="12">
        <v>21.260999999999999</v>
      </c>
      <c r="O831" s="12">
        <v>19.472999999999999</v>
      </c>
      <c r="P831" s="12">
        <v>12</v>
      </c>
      <c r="Q831" s="12">
        <v>12</v>
      </c>
      <c r="R831" s="12">
        <v>13</v>
      </c>
    </row>
    <row r="832" spans="1:18" ht="17" customHeight="1" x14ac:dyDescent="0.2">
      <c r="A832" s="5" t="s">
        <v>3481</v>
      </c>
      <c r="B832" s="6" t="s">
        <v>3482</v>
      </c>
      <c r="C832" s="5" t="s">
        <v>3483</v>
      </c>
      <c r="D832" s="5" t="s">
        <v>3483</v>
      </c>
      <c r="E832" s="5" t="s">
        <v>3484</v>
      </c>
      <c r="F832" s="5" t="s">
        <v>134</v>
      </c>
      <c r="G832" s="5" t="s">
        <v>283</v>
      </c>
      <c r="H832" s="5" t="s">
        <v>74</v>
      </c>
      <c r="I832" s="5" t="str">
        <f>HYPERLINK("http://www.galvan-sposa.com/","www.galvan-sposa.com")</f>
        <v>www.galvan-sposa.com</v>
      </c>
      <c r="J832" s="7">
        <v>736.73299999999995</v>
      </c>
      <c r="K832" s="7">
        <v>736.73299999999995</v>
      </c>
      <c r="L832" s="8">
        <v>749.02</v>
      </c>
      <c r="M832" s="7">
        <v>-173.9</v>
      </c>
      <c r="N832" s="7">
        <v>-173.9</v>
      </c>
      <c r="O832" s="7">
        <v>0.40100000000000002</v>
      </c>
      <c r="P832" s="7">
        <v>8</v>
      </c>
      <c r="Q832" s="7">
        <v>8</v>
      </c>
      <c r="R832" s="7">
        <v>9</v>
      </c>
    </row>
    <row r="833" spans="1:18" ht="29.5" customHeight="1" x14ac:dyDescent="0.2">
      <c r="A833" s="10" t="s">
        <v>3485</v>
      </c>
      <c r="B833" s="11" t="s">
        <v>3486</v>
      </c>
      <c r="C833" s="10" t="s">
        <v>3487</v>
      </c>
      <c r="D833" s="10" t="s">
        <v>3488</v>
      </c>
      <c r="E833" s="10" t="s">
        <v>3489</v>
      </c>
      <c r="F833" s="10" t="s">
        <v>181</v>
      </c>
      <c r="G833" s="10" t="s">
        <v>1210</v>
      </c>
      <c r="H833" s="10" t="s">
        <v>1132</v>
      </c>
      <c r="I833" s="10" t="str">
        <f>HYPERLINK("http://altex.it/","altex.it")</f>
        <v>altex.it</v>
      </c>
      <c r="J833" s="12">
        <v>738.48</v>
      </c>
      <c r="K833" s="12">
        <v>738.48</v>
      </c>
      <c r="L833" s="12">
        <v>744.36</v>
      </c>
      <c r="M833" s="12">
        <v>5.952</v>
      </c>
      <c r="N833" s="12">
        <v>5.952</v>
      </c>
      <c r="O833" s="12">
        <v>7.7270000000000003</v>
      </c>
      <c r="P833" s="13" t="s">
        <v>24</v>
      </c>
      <c r="Q833" s="13" t="s">
        <v>24</v>
      </c>
      <c r="R833" s="12">
        <v>11</v>
      </c>
    </row>
    <row r="834" spans="1:18" ht="29.5" customHeight="1" x14ac:dyDescent="0.2">
      <c r="A834" s="5" t="s">
        <v>3490</v>
      </c>
      <c r="B834" s="6" t="s">
        <v>3491</v>
      </c>
      <c r="C834" s="5" t="s">
        <v>3492</v>
      </c>
      <c r="D834" s="5" t="s">
        <v>3492</v>
      </c>
      <c r="E834" s="5" t="s">
        <v>3493</v>
      </c>
      <c r="F834" s="5" t="s">
        <v>114</v>
      </c>
      <c r="G834" s="5" t="s">
        <v>42</v>
      </c>
      <c r="H834" s="5" t="s">
        <v>43</v>
      </c>
      <c r="I834" s="5" t="str">
        <f>HYPERLINK("http://www.giemmefashion.com/","www.giemmefashion.com")</f>
        <v>www.giemmefashion.com</v>
      </c>
      <c r="J834" s="7">
        <v>869.65800000000002</v>
      </c>
      <c r="K834" s="7">
        <v>869.65800000000002</v>
      </c>
      <c r="L834" s="8">
        <v>742.55399999999997</v>
      </c>
      <c r="M834" s="7">
        <v>9.173</v>
      </c>
      <c r="N834" s="7">
        <v>9.173</v>
      </c>
      <c r="O834" s="7">
        <v>2.0680000000000001</v>
      </c>
      <c r="P834" s="7">
        <v>19</v>
      </c>
      <c r="Q834" s="7">
        <v>19</v>
      </c>
      <c r="R834" s="7">
        <v>18</v>
      </c>
    </row>
    <row r="835" spans="1:18" ht="17" customHeight="1" x14ac:dyDescent="0.2">
      <c r="A835" s="10" t="s">
        <v>3494</v>
      </c>
      <c r="B835" s="11" t="s">
        <v>3495</v>
      </c>
      <c r="C835" s="10" t="s">
        <v>3496</v>
      </c>
      <c r="D835" s="10" t="s">
        <v>3496</v>
      </c>
      <c r="E835" s="10" t="s">
        <v>3497</v>
      </c>
      <c r="F835" s="10" t="s">
        <v>54</v>
      </c>
      <c r="G835" s="10" t="s">
        <v>79</v>
      </c>
      <c r="H835" s="10" t="s">
        <v>56</v>
      </c>
      <c r="I835" s="10" t="str">
        <f>HYPERLINK("http://www.maratac.it/","www.maratac.it")</f>
        <v>www.maratac.it</v>
      </c>
      <c r="J835" s="12">
        <v>722.04200000000003</v>
      </c>
      <c r="K835" s="12">
        <v>722.04200000000003</v>
      </c>
      <c r="L835" s="12">
        <v>741.875</v>
      </c>
      <c r="M835" s="12">
        <v>25.401</v>
      </c>
      <c r="N835" s="12">
        <v>25.401</v>
      </c>
      <c r="O835" s="12">
        <v>8.3800000000000008</v>
      </c>
      <c r="P835" s="12">
        <v>6</v>
      </c>
      <c r="Q835" s="12">
        <v>6</v>
      </c>
      <c r="R835" s="12">
        <v>7</v>
      </c>
    </row>
    <row r="836" spans="1:18" ht="17" customHeight="1" x14ac:dyDescent="0.2">
      <c r="A836" s="5" t="s">
        <v>3498</v>
      </c>
      <c r="B836" s="6" t="s">
        <v>3499</v>
      </c>
      <c r="C836" s="5" t="s">
        <v>3500</v>
      </c>
      <c r="D836" s="5" t="s">
        <v>3500</v>
      </c>
      <c r="E836" s="5" t="s">
        <v>3501</v>
      </c>
      <c r="F836" s="5" t="s">
        <v>134</v>
      </c>
      <c r="G836" s="5" t="s">
        <v>3502</v>
      </c>
      <c r="H836" s="5" t="s">
        <v>3115</v>
      </c>
      <c r="I836" s="5" t="str">
        <f>HYPERLINK("http://www.sanvenero.com/","www.sanvenero.com")</f>
        <v>www.sanvenero.com</v>
      </c>
      <c r="J836" s="7">
        <v>767.64400000000001</v>
      </c>
      <c r="K836" s="7">
        <v>767.64400000000001</v>
      </c>
      <c r="L836" s="8">
        <v>741.03099999999995</v>
      </c>
      <c r="M836" s="7">
        <v>0.42899999999999999</v>
      </c>
      <c r="N836" s="7">
        <v>0.42899999999999999</v>
      </c>
      <c r="O836" s="7">
        <v>7.4169999999999998</v>
      </c>
      <c r="P836" s="9" t="s">
        <v>24</v>
      </c>
      <c r="Q836" s="9" t="s">
        <v>24</v>
      </c>
      <c r="R836" s="7">
        <v>3</v>
      </c>
    </row>
    <row r="837" spans="1:18" ht="17" customHeight="1" x14ac:dyDescent="0.2">
      <c r="A837" s="10" t="s">
        <v>3503</v>
      </c>
      <c r="B837" s="11" t="s">
        <v>3504</v>
      </c>
      <c r="C837" s="10" t="s">
        <v>3505</v>
      </c>
      <c r="D837" s="10" t="s">
        <v>3505</v>
      </c>
      <c r="E837" s="10" t="s">
        <v>3506</v>
      </c>
      <c r="F837" s="10" t="s">
        <v>48</v>
      </c>
      <c r="G837" s="10" t="s">
        <v>234</v>
      </c>
      <c r="H837" s="10" t="s">
        <v>23</v>
      </c>
      <c r="I837" s="10" t="str">
        <f>HYPERLINK("http://bombata.it/","bombata.it")</f>
        <v>bombata.it</v>
      </c>
      <c r="J837" s="12">
        <v>630.41700000000003</v>
      </c>
      <c r="K837" s="12">
        <v>630.41700000000003</v>
      </c>
      <c r="L837" s="12">
        <v>740.97299999999996</v>
      </c>
      <c r="M837" s="12">
        <v>25.914000000000001</v>
      </c>
      <c r="N837" s="12">
        <v>25.914000000000001</v>
      </c>
      <c r="O837" s="12">
        <v>42.276000000000003</v>
      </c>
      <c r="P837" s="12">
        <v>3</v>
      </c>
      <c r="Q837" s="12">
        <v>3</v>
      </c>
      <c r="R837" s="12">
        <v>3</v>
      </c>
    </row>
    <row r="838" spans="1:18" ht="17" customHeight="1" x14ac:dyDescent="0.2">
      <c r="A838" s="5" t="s">
        <v>3507</v>
      </c>
      <c r="B838" s="6" t="s">
        <v>3508</v>
      </c>
      <c r="C838" s="5" t="s">
        <v>3509</v>
      </c>
      <c r="D838" s="5" t="s">
        <v>3509</v>
      </c>
      <c r="E838" s="5" t="s">
        <v>3510</v>
      </c>
      <c r="F838" s="5" t="s">
        <v>114</v>
      </c>
      <c r="G838" s="5" t="s">
        <v>211</v>
      </c>
      <c r="H838" s="5" t="s">
        <v>74</v>
      </c>
      <c r="I838" s="5" t="str">
        <f>HYPERLINK("http://www.cridamilano.it/","www.cridamilano.it")</f>
        <v>www.cridamilano.it</v>
      </c>
      <c r="J838" s="7">
        <v>908.59199999999998</v>
      </c>
      <c r="K838" s="7">
        <v>908.59199999999998</v>
      </c>
      <c r="L838" s="8">
        <v>740.83299999999997</v>
      </c>
      <c r="M838" s="7">
        <v>-27.465</v>
      </c>
      <c r="N838" s="7">
        <v>-27.465</v>
      </c>
      <c r="O838" s="7">
        <v>13.738</v>
      </c>
      <c r="P838" s="9" t="s">
        <v>24</v>
      </c>
      <c r="Q838" s="9" t="s">
        <v>24</v>
      </c>
      <c r="R838" s="7">
        <v>0</v>
      </c>
    </row>
    <row r="839" spans="1:18" ht="17" customHeight="1" x14ac:dyDescent="0.2">
      <c r="A839" s="10" t="s">
        <v>3511</v>
      </c>
      <c r="B839" s="11" t="s">
        <v>3512</v>
      </c>
      <c r="C839" s="10" t="s">
        <v>3513</v>
      </c>
      <c r="D839" s="10" t="s">
        <v>3513</v>
      </c>
      <c r="E839" s="10" t="s">
        <v>3514</v>
      </c>
      <c r="F839" s="10" t="s">
        <v>105</v>
      </c>
      <c r="G839" s="10" t="s">
        <v>2047</v>
      </c>
      <c r="H839" s="10" t="s">
        <v>2048</v>
      </c>
      <c r="I839" s="10" t="str">
        <f>HYPERLINK("http://www.confsport.com/","www.confsport.com")</f>
        <v>www.confsport.com</v>
      </c>
      <c r="J839" s="12">
        <v>742.95799999999997</v>
      </c>
      <c r="K839" s="12">
        <v>742.95799999999997</v>
      </c>
      <c r="L839" s="12">
        <v>738.19799999999998</v>
      </c>
      <c r="M839" s="12">
        <v>69.239000000000004</v>
      </c>
      <c r="N839" s="12">
        <v>69.239000000000004</v>
      </c>
      <c r="O839" s="12">
        <v>-4.1280000000000001</v>
      </c>
      <c r="P839" s="12">
        <v>16</v>
      </c>
      <c r="Q839" s="12">
        <v>16</v>
      </c>
      <c r="R839" s="12">
        <v>17</v>
      </c>
    </row>
    <row r="840" spans="1:18" ht="17" customHeight="1" x14ac:dyDescent="0.2">
      <c r="A840" s="5" t="s">
        <v>3515</v>
      </c>
      <c r="B840" s="6" t="s">
        <v>3516</v>
      </c>
      <c r="C840" s="5" t="s">
        <v>3517</v>
      </c>
      <c r="D840" s="5" t="s">
        <v>3517</v>
      </c>
      <c r="E840" s="5" t="s">
        <v>3518</v>
      </c>
      <c r="F840" s="5" t="s">
        <v>114</v>
      </c>
      <c r="G840" s="5" t="s">
        <v>140</v>
      </c>
      <c r="H840" s="5" t="s">
        <v>43</v>
      </c>
      <c r="I840" s="5" t="str">
        <f>HYPERLINK("http://effettolanaecotone.it/","effettolanaecotone.it")</f>
        <v>effettolanaecotone.it</v>
      </c>
      <c r="J840" s="7">
        <v>597.26099999999997</v>
      </c>
      <c r="K840" s="7">
        <v>597.26099999999997</v>
      </c>
      <c r="L840" s="8">
        <v>737.65700000000004</v>
      </c>
      <c r="M840" s="7">
        <v>0.80500000000000005</v>
      </c>
      <c r="N840" s="7">
        <v>0.80500000000000005</v>
      </c>
      <c r="O840" s="7">
        <v>-10.000999999999999</v>
      </c>
      <c r="P840" s="7">
        <v>16</v>
      </c>
      <c r="Q840" s="7">
        <v>16</v>
      </c>
      <c r="R840" s="7">
        <v>14</v>
      </c>
    </row>
    <row r="841" spans="1:18" ht="17" customHeight="1" x14ac:dyDescent="0.2">
      <c r="A841" s="10" t="s">
        <v>3519</v>
      </c>
      <c r="B841" s="11" t="s">
        <v>3520</v>
      </c>
      <c r="C841" s="10" t="s">
        <v>3521</v>
      </c>
      <c r="D841" s="10" t="s">
        <v>3521</v>
      </c>
      <c r="E841" s="10" t="s">
        <v>3522</v>
      </c>
      <c r="F841" s="10" t="s">
        <v>72</v>
      </c>
      <c r="G841" s="10" t="s">
        <v>274</v>
      </c>
      <c r="H841" s="10" t="s">
        <v>31</v>
      </c>
      <c r="I841" s="10" t="str">
        <f>HYPERLINK("http://www.sccalze.com/","www.sccalze.com")</f>
        <v>www.sccalze.com</v>
      </c>
      <c r="J841" s="12">
        <v>868.16700000000003</v>
      </c>
      <c r="K841" s="12">
        <v>868.16700000000003</v>
      </c>
      <c r="L841" s="12">
        <v>737.22299999999996</v>
      </c>
      <c r="M841" s="12">
        <v>101.054</v>
      </c>
      <c r="N841" s="12">
        <v>101.054</v>
      </c>
      <c r="O841" s="12">
        <v>126.5</v>
      </c>
      <c r="P841" s="13" t="s">
        <v>24</v>
      </c>
      <c r="Q841" s="13" t="s">
        <v>24</v>
      </c>
      <c r="R841" s="12">
        <v>14</v>
      </c>
    </row>
    <row r="842" spans="1:18" ht="17" customHeight="1" x14ac:dyDescent="0.2">
      <c r="A842" s="5" t="s">
        <v>3523</v>
      </c>
      <c r="B842" s="6" t="s">
        <v>3524</v>
      </c>
      <c r="C842" s="5" t="s">
        <v>3525</v>
      </c>
      <c r="D842" s="5" t="s">
        <v>3525</v>
      </c>
      <c r="E842" s="5" t="s">
        <v>3526</v>
      </c>
      <c r="F842" s="5" t="s">
        <v>252</v>
      </c>
      <c r="G842" s="5" t="s">
        <v>211</v>
      </c>
      <c r="H842" s="5" t="s">
        <v>74</v>
      </c>
      <c r="I842" s="5" t="str">
        <f>HYPERLINK("http://www.seralfredtaglio.it/","www.seralfredtaglio.it")</f>
        <v>www.seralfredtaglio.it</v>
      </c>
      <c r="J842" s="7">
        <v>939.21299999999997</v>
      </c>
      <c r="K842" s="7">
        <v>939.21299999999997</v>
      </c>
      <c r="L842" s="8">
        <v>736.90099999999995</v>
      </c>
      <c r="M842" s="7">
        <v>135.565</v>
      </c>
      <c r="N842" s="7">
        <v>135.565</v>
      </c>
      <c r="O842" s="7">
        <v>43.417000000000002</v>
      </c>
      <c r="P842" s="7">
        <v>13</v>
      </c>
      <c r="Q842" s="7">
        <v>13</v>
      </c>
      <c r="R842" s="7">
        <v>11</v>
      </c>
    </row>
    <row r="843" spans="1:18" ht="17" customHeight="1" x14ac:dyDescent="0.2">
      <c r="A843" s="10" t="s">
        <v>3527</v>
      </c>
      <c r="B843" s="11" t="s">
        <v>3528</v>
      </c>
      <c r="C843" s="10" t="s">
        <v>3529</v>
      </c>
      <c r="D843" s="10" t="s">
        <v>3529</v>
      </c>
      <c r="E843" s="10" t="s">
        <v>3530</v>
      </c>
      <c r="F843" s="10" t="s">
        <v>462</v>
      </c>
      <c r="G843" s="10" t="s">
        <v>211</v>
      </c>
      <c r="H843" s="10" t="s">
        <v>74</v>
      </c>
      <c r="I843" s="10" t="str">
        <f>HYPERLINK("http://www.papillonintimo.it/","www.papillonintimo.it")</f>
        <v>www.papillonintimo.it</v>
      </c>
      <c r="J843" s="12">
        <v>733.53800000000001</v>
      </c>
      <c r="K843" s="13" t="s">
        <v>24</v>
      </c>
      <c r="L843" s="12">
        <v>733.53800000000001</v>
      </c>
      <c r="M843" s="12">
        <v>10.242000000000001</v>
      </c>
      <c r="N843" s="13" t="s">
        <v>24</v>
      </c>
      <c r="O843" s="12">
        <v>10.242000000000001</v>
      </c>
      <c r="P843" s="12">
        <v>2</v>
      </c>
      <c r="Q843" s="13" t="s">
        <v>24</v>
      </c>
      <c r="R843" s="12">
        <v>2</v>
      </c>
    </row>
    <row r="844" spans="1:18" ht="29.5" customHeight="1" x14ac:dyDescent="0.2">
      <c r="A844" s="5" t="s">
        <v>3531</v>
      </c>
      <c r="B844" s="6" t="s">
        <v>3532</v>
      </c>
      <c r="C844" s="5" t="s">
        <v>3533</v>
      </c>
      <c r="D844" s="5" t="s">
        <v>3533</v>
      </c>
      <c r="E844" s="5" t="s">
        <v>3534</v>
      </c>
      <c r="F844" s="5" t="s">
        <v>72</v>
      </c>
      <c r="G844" s="5" t="s">
        <v>73</v>
      </c>
      <c r="H844" s="5" t="s">
        <v>74</v>
      </c>
      <c r="I844" s="5" t="str">
        <f>HYPERLINK("http://floky.com/","floky.com")</f>
        <v>floky.com</v>
      </c>
      <c r="J844" s="7">
        <v>2109.5740000000001</v>
      </c>
      <c r="K844" s="7">
        <v>2109.5740000000001</v>
      </c>
      <c r="L844" s="8">
        <v>733.32100000000003</v>
      </c>
      <c r="M844" s="7">
        <v>2.762</v>
      </c>
      <c r="N844" s="7">
        <v>2.762</v>
      </c>
      <c r="O844" s="7">
        <v>-250.279</v>
      </c>
      <c r="P844" s="7">
        <v>6</v>
      </c>
      <c r="Q844" s="7">
        <v>6</v>
      </c>
      <c r="R844" s="7">
        <v>4</v>
      </c>
    </row>
    <row r="845" spans="1:18" ht="17" customHeight="1" x14ac:dyDescent="0.2">
      <c r="A845" s="10" t="s">
        <v>3535</v>
      </c>
      <c r="B845" s="11" t="s">
        <v>3536</v>
      </c>
      <c r="C845" s="10" t="s">
        <v>3537</v>
      </c>
      <c r="D845" s="10" t="s">
        <v>3537</v>
      </c>
      <c r="E845" s="10" t="s">
        <v>3538</v>
      </c>
      <c r="F845" s="10" t="s">
        <v>105</v>
      </c>
      <c r="G845" s="10" t="s">
        <v>298</v>
      </c>
      <c r="H845" s="10" t="s">
        <v>299</v>
      </c>
      <c r="I845" s="10" t="str">
        <f>HYPERLINK("http://www.eurospal.it/","www.eurospal.it")</f>
        <v>www.eurospal.it</v>
      </c>
      <c r="J845" s="12">
        <v>577.11300000000006</v>
      </c>
      <c r="K845" s="12">
        <v>577.11300000000006</v>
      </c>
      <c r="L845" s="12">
        <v>732.31200000000001</v>
      </c>
      <c r="M845" s="12">
        <v>5.0190000000000001</v>
      </c>
      <c r="N845" s="12">
        <v>5.0190000000000001</v>
      </c>
      <c r="O845" s="12">
        <v>9.1069999999999993</v>
      </c>
      <c r="P845" s="13" t="s">
        <v>24</v>
      </c>
      <c r="Q845" s="13" t="s">
        <v>24</v>
      </c>
      <c r="R845" s="12">
        <v>5</v>
      </c>
    </row>
    <row r="846" spans="1:18" ht="17" customHeight="1" x14ac:dyDescent="0.2">
      <c r="A846" s="5" t="s">
        <v>3539</v>
      </c>
      <c r="B846" s="6" t="s">
        <v>3540</v>
      </c>
      <c r="C846" s="5" t="s">
        <v>3541</v>
      </c>
      <c r="D846" s="5" t="s">
        <v>3541</v>
      </c>
      <c r="E846" s="5" t="s">
        <v>3542</v>
      </c>
      <c r="F846" s="5" t="s">
        <v>114</v>
      </c>
      <c r="G846" s="5" t="s">
        <v>293</v>
      </c>
      <c r="H846" s="5" t="s">
        <v>74</v>
      </c>
      <c r="I846" s="5" t="str">
        <f>HYPERLINK("http://www.creazioninigis.it/","www.creazioninigis.it")</f>
        <v>www.creazioninigis.it</v>
      </c>
      <c r="J846" s="7">
        <v>885.63499999999999</v>
      </c>
      <c r="K846" s="7">
        <v>885.63499999999999</v>
      </c>
      <c r="L846" s="8">
        <v>731.125</v>
      </c>
      <c r="M846" s="7">
        <v>-49.503999999999998</v>
      </c>
      <c r="N846" s="7">
        <v>-49.503999999999998</v>
      </c>
      <c r="O846" s="7">
        <v>2.347</v>
      </c>
      <c r="P846" s="7">
        <v>7</v>
      </c>
      <c r="Q846" s="7">
        <v>7</v>
      </c>
      <c r="R846" s="7">
        <v>7</v>
      </c>
    </row>
    <row r="847" spans="1:18" ht="17" customHeight="1" x14ac:dyDescent="0.2">
      <c r="A847" s="10" t="s">
        <v>3543</v>
      </c>
      <c r="B847" s="11" t="s">
        <v>3544</v>
      </c>
      <c r="C847" s="10" t="s">
        <v>3545</v>
      </c>
      <c r="D847" s="10" t="s">
        <v>3545</v>
      </c>
      <c r="E847" s="10" t="s">
        <v>3546</v>
      </c>
      <c r="F847" s="10" t="s">
        <v>105</v>
      </c>
      <c r="G847" s="10" t="s">
        <v>115</v>
      </c>
      <c r="H847" s="10" t="s">
        <v>43</v>
      </c>
      <c r="I847" s="10" t="str">
        <f>HYPERLINK("http://www.forpen.it/","www.forpen.it")</f>
        <v>www.forpen.it</v>
      </c>
      <c r="J847" s="12">
        <v>849.08900000000006</v>
      </c>
      <c r="K847" s="12">
        <v>849.08900000000006</v>
      </c>
      <c r="L847" s="12">
        <v>730.62199999999996</v>
      </c>
      <c r="M847" s="12">
        <v>-27.524000000000001</v>
      </c>
      <c r="N847" s="12">
        <v>-27.524000000000001</v>
      </c>
      <c r="O847" s="12">
        <v>34.671999999999997</v>
      </c>
      <c r="P847" s="13" t="s">
        <v>24</v>
      </c>
      <c r="Q847" s="13" t="s">
        <v>24</v>
      </c>
      <c r="R847" s="12">
        <v>11</v>
      </c>
    </row>
    <row r="848" spans="1:18" ht="29.5" customHeight="1" x14ac:dyDescent="0.2">
      <c r="A848" s="5" t="s">
        <v>3547</v>
      </c>
      <c r="B848" s="6" t="s">
        <v>3548</v>
      </c>
      <c r="C848" s="5" t="s">
        <v>3549</v>
      </c>
      <c r="D848" s="5" t="s">
        <v>3549</v>
      </c>
      <c r="E848" s="5" t="s">
        <v>3550</v>
      </c>
      <c r="F848" s="5" t="s">
        <v>149</v>
      </c>
      <c r="G848" s="5" t="s">
        <v>274</v>
      </c>
      <c r="H848" s="5" t="s">
        <v>31</v>
      </c>
      <c r="I848" s="5" t="str">
        <f>HYPERLINK("http://www.rigisport.it/","www.rigisport.it")</f>
        <v>www.rigisport.it</v>
      </c>
      <c r="J848" s="7">
        <v>730.67600000000004</v>
      </c>
      <c r="K848" s="7">
        <v>730.67600000000004</v>
      </c>
      <c r="L848" s="8">
        <v>730.62400000000002</v>
      </c>
      <c r="M848" s="7">
        <v>7.6159999999999997</v>
      </c>
      <c r="N848" s="7">
        <v>7.6159999999999997</v>
      </c>
      <c r="O848" s="7">
        <v>4.9610000000000003</v>
      </c>
      <c r="P848" s="9" t="s">
        <v>24</v>
      </c>
      <c r="Q848" s="9" t="s">
        <v>24</v>
      </c>
      <c r="R848" s="7">
        <v>10</v>
      </c>
    </row>
    <row r="849" spans="1:18" ht="43" customHeight="1" x14ac:dyDescent="0.2">
      <c r="A849" s="10" t="s">
        <v>3551</v>
      </c>
      <c r="B849" s="11" t="s">
        <v>3552</v>
      </c>
      <c r="C849" s="10" t="s">
        <v>3553</v>
      </c>
      <c r="D849" s="10" t="s">
        <v>3553</v>
      </c>
      <c r="E849" s="10" t="s">
        <v>3554</v>
      </c>
      <c r="F849" s="10" t="s">
        <v>54</v>
      </c>
      <c r="G849" s="10" t="s">
        <v>79</v>
      </c>
      <c r="H849" s="10" t="s">
        <v>56</v>
      </c>
      <c r="I849" s="10" t="str">
        <f>HYPERLINK("http://www.dmproject.net/","www.dmproject.net")</f>
        <v>www.dmproject.net</v>
      </c>
      <c r="J849" s="12">
        <v>545.6</v>
      </c>
      <c r="K849" s="12">
        <v>545.6</v>
      </c>
      <c r="L849" s="12">
        <v>729.71900000000005</v>
      </c>
      <c r="M849" s="12">
        <v>1.1639999999999999</v>
      </c>
      <c r="N849" s="12">
        <v>1.1639999999999999</v>
      </c>
      <c r="O849" s="12">
        <v>16.93</v>
      </c>
      <c r="P849" s="12">
        <v>4</v>
      </c>
      <c r="Q849" s="12">
        <v>4</v>
      </c>
      <c r="R849" s="12">
        <v>4</v>
      </c>
    </row>
    <row r="850" spans="1:18" ht="29.5" customHeight="1" x14ac:dyDescent="0.2">
      <c r="A850" s="5" t="s">
        <v>3555</v>
      </c>
      <c r="B850" s="6" t="s">
        <v>3556</v>
      </c>
      <c r="C850" s="5" t="s">
        <v>3557</v>
      </c>
      <c r="D850" s="5" t="s">
        <v>3557</v>
      </c>
      <c r="E850" s="5" t="s">
        <v>3558</v>
      </c>
      <c r="F850" s="5" t="s">
        <v>21</v>
      </c>
      <c r="G850" s="5" t="s">
        <v>22</v>
      </c>
      <c r="H850" s="5" t="s">
        <v>23</v>
      </c>
      <c r="I850" s="5" t="str">
        <f>HYPERLINK("http://www.calzaturificiopiacentino.it/","www.calzaturificiopiacentino.it")</f>
        <v>www.calzaturificiopiacentino.it</v>
      </c>
      <c r="J850" s="7">
        <v>871.9</v>
      </c>
      <c r="K850" s="7">
        <v>871.9</v>
      </c>
      <c r="L850" s="8">
        <v>728.82600000000002</v>
      </c>
      <c r="M850" s="7">
        <v>-392.19499999999999</v>
      </c>
      <c r="N850" s="7">
        <v>-392.19499999999999</v>
      </c>
      <c r="O850" s="7">
        <v>4.8150000000000004</v>
      </c>
      <c r="P850" s="7">
        <v>3</v>
      </c>
      <c r="Q850" s="7">
        <v>3</v>
      </c>
      <c r="R850" s="7">
        <v>3</v>
      </c>
    </row>
    <row r="851" spans="1:18" ht="17" customHeight="1" x14ac:dyDescent="0.2">
      <c r="A851" s="10" t="s">
        <v>3559</v>
      </c>
      <c r="B851" s="11" t="s">
        <v>3560</v>
      </c>
      <c r="C851" s="10" t="s">
        <v>3561</v>
      </c>
      <c r="D851" s="10" t="s">
        <v>3561</v>
      </c>
      <c r="E851" s="10" t="s">
        <v>3562</v>
      </c>
      <c r="F851" s="10" t="s">
        <v>181</v>
      </c>
      <c r="G851" s="10" t="s">
        <v>140</v>
      </c>
      <c r="H851" s="10" t="s">
        <v>43</v>
      </c>
      <c r="I851" s="10" t="str">
        <f>HYPERLINK("http://www.lanificiomarchesin.it/","www.lanificiomarchesin.it")</f>
        <v>www.lanificiomarchesin.it</v>
      </c>
      <c r="J851" s="12">
        <v>557.505</v>
      </c>
      <c r="K851" s="12">
        <v>557.505</v>
      </c>
      <c r="L851" s="12">
        <v>728.32500000000005</v>
      </c>
      <c r="M851" s="12">
        <v>-180.511</v>
      </c>
      <c r="N851" s="12">
        <v>-180.511</v>
      </c>
      <c r="O851" s="12">
        <v>-386.62400000000002</v>
      </c>
      <c r="P851" s="12">
        <v>0</v>
      </c>
      <c r="Q851" s="12">
        <v>0</v>
      </c>
      <c r="R851" s="12">
        <v>2</v>
      </c>
    </row>
    <row r="852" spans="1:18" ht="17" customHeight="1" x14ac:dyDescent="0.2">
      <c r="A852" s="5" t="s">
        <v>3563</v>
      </c>
      <c r="B852" s="6" t="s">
        <v>3564</v>
      </c>
      <c r="C852" s="5" t="s">
        <v>3565</v>
      </c>
      <c r="D852" s="5" t="s">
        <v>3565</v>
      </c>
      <c r="E852" s="5" t="s">
        <v>3566</v>
      </c>
      <c r="F852" s="5" t="s">
        <v>29</v>
      </c>
      <c r="G852" s="5" t="s">
        <v>2701</v>
      </c>
      <c r="H852" s="5" t="s">
        <v>74</v>
      </c>
      <c r="I852" s="5" t="str">
        <f>HYPERLINK("http://www.saintspagnano.com/","www.saintspagnano.com")</f>
        <v>www.saintspagnano.com</v>
      </c>
      <c r="J852" s="7">
        <v>510.91300000000001</v>
      </c>
      <c r="K852" s="7">
        <v>510.91300000000001</v>
      </c>
      <c r="L852" s="8">
        <v>728.21699999999998</v>
      </c>
      <c r="M852" s="7">
        <v>-123.95699999999999</v>
      </c>
      <c r="N852" s="7">
        <v>-123.95699999999999</v>
      </c>
      <c r="O852" s="7">
        <v>-96.701999999999998</v>
      </c>
      <c r="P852" s="9" t="s">
        <v>24</v>
      </c>
      <c r="Q852" s="9" t="s">
        <v>24</v>
      </c>
      <c r="R852" s="7">
        <v>5</v>
      </c>
    </row>
    <row r="853" spans="1:18" ht="29.5" customHeight="1" x14ac:dyDescent="0.2">
      <c r="A853" s="10" t="s">
        <v>3567</v>
      </c>
      <c r="B853" s="11" t="s">
        <v>3568</v>
      </c>
      <c r="C853" s="10" t="s">
        <v>3569</v>
      </c>
      <c r="D853" s="10" t="s">
        <v>3569</v>
      </c>
      <c r="E853" s="10" t="s">
        <v>3570</v>
      </c>
      <c r="F853" s="10" t="s">
        <v>134</v>
      </c>
      <c r="G853" s="10" t="s">
        <v>42</v>
      </c>
      <c r="H853" s="10" t="s">
        <v>43</v>
      </c>
      <c r="I853" s="10" t="str">
        <f>HYPERLINK("http://www.sartoriasilviozanella.com/","www.sartoriasilviozanella.com")</f>
        <v>www.sartoriasilviozanella.com</v>
      </c>
      <c r="J853" s="12">
        <v>727.94799999999998</v>
      </c>
      <c r="K853" s="13" t="s">
        <v>24</v>
      </c>
      <c r="L853" s="12">
        <v>727.94799999999998</v>
      </c>
      <c r="M853" s="12">
        <v>27.948</v>
      </c>
      <c r="N853" s="13" t="s">
        <v>24</v>
      </c>
      <c r="O853" s="12">
        <v>27.948</v>
      </c>
      <c r="P853" s="12">
        <v>8</v>
      </c>
      <c r="Q853" s="13" t="s">
        <v>24</v>
      </c>
      <c r="R853" s="12">
        <v>8</v>
      </c>
    </row>
    <row r="854" spans="1:18" ht="29.5" customHeight="1" x14ac:dyDescent="0.2">
      <c r="A854" s="5" t="s">
        <v>3571</v>
      </c>
      <c r="B854" s="6" t="s">
        <v>3572</v>
      </c>
      <c r="C854" s="5" t="s">
        <v>3573</v>
      </c>
      <c r="D854" s="5" t="s">
        <v>3573</v>
      </c>
      <c r="E854" s="5" t="s">
        <v>3574</v>
      </c>
      <c r="F854" s="5" t="s">
        <v>21</v>
      </c>
      <c r="G854" s="5" t="s">
        <v>79</v>
      </c>
      <c r="H854" s="5" t="s">
        <v>56</v>
      </c>
      <c r="I854" s="5" t="str">
        <f>HYPERLINK("http://zyob1568.fideiussione-assicurativa-finanziaria.it/","zyob1568.fideiussione-assicurativa-finanziaria.it")</f>
        <v>zyob1568.fideiussione-assicurativa-finanziaria.it</v>
      </c>
      <c r="J854" s="7">
        <v>823.53599999999994</v>
      </c>
      <c r="K854" s="7">
        <v>823.53599999999994</v>
      </c>
      <c r="L854" s="8">
        <v>727.57600000000002</v>
      </c>
      <c r="M854" s="7">
        <v>-44.228999999999999</v>
      </c>
      <c r="N854" s="7">
        <v>-44.228999999999999</v>
      </c>
      <c r="O854" s="7">
        <v>-23.553999999999998</v>
      </c>
      <c r="P854" s="7">
        <v>2</v>
      </c>
      <c r="Q854" s="7">
        <v>2</v>
      </c>
      <c r="R854" s="7">
        <v>2</v>
      </c>
    </row>
    <row r="855" spans="1:18" ht="17" customHeight="1" x14ac:dyDescent="0.2">
      <c r="A855" s="10" t="s">
        <v>3575</v>
      </c>
      <c r="B855" s="11" t="s">
        <v>3576</v>
      </c>
      <c r="C855" s="10" t="s">
        <v>3577</v>
      </c>
      <c r="D855" s="10" t="s">
        <v>3577</v>
      </c>
      <c r="E855" s="10" t="s">
        <v>3578</v>
      </c>
      <c r="F855" s="10" t="s">
        <v>21</v>
      </c>
      <c r="G855" s="10" t="s">
        <v>73</v>
      </c>
      <c r="H855" s="10" t="s">
        <v>74</v>
      </c>
      <c r="I855" s="10" t="str">
        <f>HYPERLINK("http://lenora.shoes/collections/outlet","lenora.shoes/collections/outlet")</f>
        <v>lenora.shoes/collections/outlet</v>
      </c>
      <c r="J855" s="12">
        <v>389.61700000000002</v>
      </c>
      <c r="K855" s="12">
        <v>753.572</v>
      </c>
      <c r="L855" s="12">
        <v>726.25900000000001</v>
      </c>
      <c r="M855" s="12">
        <v>-2.9740000000000002</v>
      </c>
      <c r="N855" s="12">
        <v>6.218</v>
      </c>
      <c r="O855" s="12">
        <v>6.9980000000000002</v>
      </c>
      <c r="P855" s="12">
        <v>1</v>
      </c>
      <c r="Q855" s="12">
        <v>2</v>
      </c>
      <c r="R855" s="12">
        <v>2</v>
      </c>
    </row>
    <row r="856" spans="1:18" ht="43" customHeight="1" x14ac:dyDescent="0.2">
      <c r="A856" s="5" t="s">
        <v>3579</v>
      </c>
      <c r="B856" s="6" t="s">
        <v>3580</v>
      </c>
      <c r="C856" s="5" t="s">
        <v>3581</v>
      </c>
      <c r="D856" s="5" t="s">
        <v>3581</v>
      </c>
      <c r="E856" s="5" t="s">
        <v>3582</v>
      </c>
      <c r="F856" s="5" t="s">
        <v>114</v>
      </c>
      <c r="G856" s="5" t="s">
        <v>158</v>
      </c>
      <c r="H856" s="5" t="s">
        <v>159</v>
      </c>
      <c r="I856" s="5" t="str">
        <f>HYPERLINK("http://www.aliscreation.it/","www.aliscreation.it")</f>
        <v>www.aliscreation.it</v>
      </c>
      <c r="J856" s="7">
        <v>595.43200000000002</v>
      </c>
      <c r="K856" s="7">
        <v>595.43200000000002</v>
      </c>
      <c r="L856" s="8">
        <v>725.53300000000002</v>
      </c>
      <c r="M856" s="7">
        <v>-47.813000000000002</v>
      </c>
      <c r="N856" s="7">
        <v>-47.813000000000002</v>
      </c>
      <c r="O856" s="7">
        <v>-69.331999999999994</v>
      </c>
      <c r="P856" s="7">
        <v>11</v>
      </c>
      <c r="Q856" s="7">
        <v>11</v>
      </c>
      <c r="R856" s="7">
        <v>15</v>
      </c>
    </row>
    <row r="857" spans="1:18" ht="17" customHeight="1" x14ac:dyDescent="0.2">
      <c r="A857" s="10" t="s">
        <v>3583</v>
      </c>
      <c r="B857" s="11" t="s">
        <v>3584</v>
      </c>
      <c r="C857" s="10" t="s">
        <v>3585</v>
      </c>
      <c r="D857" s="10" t="s">
        <v>3585</v>
      </c>
      <c r="E857" s="10" t="s">
        <v>3586</v>
      </c>
      <c r="F857" s="10" t="s">
        <v>105</v>
      </c>
      <c r="G857" s="10" t="s">
        <v>100</v>
      </c>
      <c r="H857" s="10" t="s">
        <v>62</v>
      </c>
      <c r="I857" s="10" t="str">
        <f>HYPERLINK("http://www.cinturificiobeb.com/","www.cinturificiobeb.com")</f>
        <v>www.cinturificiobeb.com</v>
      </c>
      <c r="J857" s="12">
        <v>679.71500000000003</v>
      </c>
      <c r="K857" s="12">
        <v>679.71500000000003</v>
      </c>
      <c r="L857" s="12">
        <v>725.11500000000001</v>
      </c>
      <c r="M857" s="12">
        <v>17.925000000000001</v>
      </c>
      <c r="N857" s="12">
        <v>17.925000000000001</v>
      </c>
      <c r="O857" s="12">
        <v>11.255000000000001</v>
      </c>
      <c r="P857" s="12">
        <v>8</v>
      </c>
      <c r="Q857" s="12">
        <v>8</v>
      </c>
      <c r="R857" s="12">
        <v>8</v>
      </c>
    </row>
    <row r="858" spans="1:18" ht="43" customHeight="1" x14ac:dyDescent="0.2">
      <c r="A858" s="5" t="s">
        <v>3587</v>
      </c>
      <c r="B858" s="6" t="s">
        <v>3588</v>
      </c>
      <c r="C858" s="5" t="s">
        <v>3589</v>
      </c>
      <c r="D858" s="5" t="s">
        <v>3589</v>
      </c>
      <c r="E858" s="5" t="s">
        <v>3590</v>
      </c>
      <c r="F858" s="5" t="s">
        <v>105</v>
      </c>
      <c r="G858" s="5" t="s">
        <v>1685</v>
      </c>
      <c r="H858" s="5" t="s">
        <v>43</v>
      </c>
      <c r="I858" s="5" t="str">
        <f>HYPERLINK("http://www.threevvv.it/","www.threevvv.it")</f>
        <v>www.threevvv.it</v>
      </c>
      <c r="J858" s="7">
        <v>948.11400000000003</v>
      </c>
      <c r="K858" s="7">
        <v>948.11400000000003</v>
      </c>
      <c r="L858" s="8">
        <v>724.70899999999995</v>
      </c>
      <c r="M858" s="7">
        <v>18.306999999999999</v>
      </c>
      <c r="N858" s="7">
        <v>18.306999999999999</v>
      </c>
      <c r="O858" s="7">
        <v>0.27100000000000002</v>
      </c>
      <c r="P858" s="7">
        <v>7</v>
      </c>
      <c r="Q858" s="7">
        <v>7</v>
      </c>
      <c r="R858" s="7">
        <v>7</v>
      </c>
    </row>
    <row r="859" spans="1:18" ht="17" customHeight="1" x14ac:dyDescent="0.2">
      <c r="A859" s="10" t="s">
        <v>3591</v>
      </c>
      <c r="B859" s="11" t="s">
        <v>3592</v>
      </c>
      <c r="C859" s="10" t="s">
        <v>3593</v>
      </c>
      <c r="D859" s="10" t="s">
        <v>3593</v>
      </c>
      <c r="E859" s="10" t="s">
        <v>3594</v>
      </c>
      <c r="F859" s="10" t="s">
        <v>114</v>
      </c>
      <c r="G859" s="10" t="s">
        <v>234</v>
      </c>
      <c r="H859" s="10" t="s">
        <v>23</v>
      </c>
      <c r="I859" s="10" t="str">
        <f>HYPERLINK("http://www.skplastsrl.com/","www.skplastsrl.com")</f>
        <v>www.skplastsrl.com</v>
      </c>
      <c r="J859" s="12">
        <v>1516.251</v>
      </c>
      <c r="K859" s="12">
        <v>1516.251</v>
      </c>
      <c r="L859" s="12">
        <v>724.55700000000002</v>
      </c>
      <c r="M859" s="12">
        <v>1.508</v>
      </c>
      <c r="N859" s="12">
        <v>1.508</v>
      </c>
      <c r="O859" s="12">
        <v>7.1079999999999997</v>
      </c>
      <c r="P859" s="13" t="s">
        <v>24</v>
      </c>
      <c r="Q859" s="13" t="s">
        <v>24</v>
      </c>
      <c r="R859" s="13" t="s">
        <v>24</v>
      </c>
    </row>
    <row r="860" spans="1:18" ht="17" customHeight="1" x14ac:dyDescent="0.2">
      <c r="A860" s="5" t="s">
        <v>3595</v>
      </c>
      <c r="B860" s="6" t="s">
        <v>3596</v>
      </c>
      <c r="C860" s="5" t="s">
        <v>3597</v>
      </c>
      <c r="D860" s="5" t="s">
        <v>3597</v>
      </c>
      <c r="E860" s="5" t="s">
        <v>3598</v>
      </c>
      <c r="F860" s="5" t="s">
        <v>105</v>
      </c>
      <c r="G860" s="5" t="s">
        <v>49</v>
      </c>
      <c r="H860" s="5" t="s">
        <v>23</v>
      </c>
      <c r="I860" s="5" t="str">
        <f>HYPERLINK("http://www.virnadro.com/","www.virnadro.com")</f>
        <v>www.virnadro.com</v>
      </c>
      <c r="J860" s="7">
        <v>687.67499999999995</v>
      </c>
      <c r="K860" s="7">
        <v>687.67499999999995</v>
      </c>
      <c r="L860" s="8">
        <v>724.64499999999998</v>
      </c>
      <c r="M860" s="7">
        <v>3.335</v>
      </c>
      <c r="N860" s="7">
        <v>3.335</v>
      </c>
      <c r="O860" s="7">
        <v>67.093000000000004</v>
      </c>
      <c r="P860" s="7">
        <v>4</v>
      </c>
      <c r="Q860" s="7">
        <v>4</v>
      </c>
      <c r="R860" s="7">
        <v>4</v>
      </c>
    </row>
    <row r="861" spans="1:18" ht="17" customHeight="1" x14ac:dyDescent="0.2">
      <c r="A861" s="10" t="s">
        <v>3599</v>
      </c>
      <c r="B861" s="11" t="s">
        <v>3600</v>
      </c>
      <c r="C861" s="10" t="s">
        <v>3601</v>
      </c>
      <c r="D861" s="10" t="s">
        <v>3601</v>
      </c>
      <c r="E861" s="10" t="s">
        <v>3602</v>
      </c>
      <c r="F861" s="10" t="s">
        <v>482</v>
      </c>
      <c r="G861" s="10" t="s">
        <v>49</v>
      </c>
      <c r="H861" s="10" t="s">
        <v>23</v>
      </c>
      <c r="I861" s="10" t="str">
        <f>HYPERLINK("http://www.guardolificio.eu/","www.guardolificio.eu")</f>
        <v>www.guardolificio.eu</v>
      </c>
      <c r="J861" s="12">
        <v>844.31600000000003</v>
      </c>
      <c r="K861" s="12">
        <v>844.31600000000003</v>
      </c>
      <c r="L861" s="12">
        <v>722.60799999999995</v>
      </c>
      <c r="M861" s="12">
        <v>18.731000000000002</v>
      </c>
      <c r="N861" s="12">
        <v>18.731000000000002</v>
      </c>
      <c r="O861" s="12">
        <v>45.845999999999997</v>
      </c>
      <c r="P861" s="13" t="s">
        <v>24</v>
      </c>
      <c r="Q861" s="13" t="s">
        <v>24</v>
      </c>
      <c r="R861" s="12">
        <v>1</v>
      </c>
    </row>
    <row r="862" spans="1:18" ht="17" customHeight="1" x14ac:dyDescent="0.2">
      <c r="A862" s="5" t="s">
        <v>3603</v>
      </c>
      <c r="B862" s="6" t="s">
        <v>3604</v>
      </c>
      <c r="C862" s="5" t="s">
        <v>3605</v>
      </c>
      <c r="D862" s="5" t="s">
        <v>3605</v>
      </c>
      <c r="E862" s="5" t="s">
        <v>3606</v>
      </c>
      <c r="F862" s="5" t="s">
        <v>367</v>
      </c>
      <c r="G862" s="5" t="s">
        <v>547</v>
      </c>
      <c r="H862" s="5" t="s">
        <v>299</v>
      </c>
      <c r="I862" s="5" t="str">
        <f>HYPERLINK("http://www.mevisrl.it/","www.mevisrl.it")</f>
        <v>www.mevisrl.it</v>
      </c>
      <c r="J862" s="7">
        <v>772.89400000000001</v>
      </c>
      <c r="K862" s="7">
        <v>772.89400000000001</v>
      </c>
      <c r="L862" s="8">
        <v>722.15499999999997</v>
      </c>
      <c r="M862" s="7">
        <v>22.722999999999999</v>
      </c>
      <c r="N862" s="7">
        <v>22.722999999999999</v>
      </c>
      <c r="O862" s="7">
        <v>16.259</v>
      </c>
      <c r="P862" s="9" t="s">
        <v>24</v>
      </c>
      <c r="Q862" s="9" t="s">
        <v>24</v>
      </c>
      <c r="R862" s="7">
        <v>10</v>
      </c>
    </row>
    <row r="863" spans="1:18" ht="17" customHeight="1" x14ac:dyDescent="0.2">
      <c r="A863" s="10" t="s">
        <v>3607</v>
      </c>
      <c r="B863" s="11" t="s">
        <v>3608</v>
      </c>
      <c r="C863" s="10" t="s">
        <v>3609</v>
      </c>
      <c r="D863" s="10" t="s">
        <v>3609</v>
      </c>
      <c r="E863" s="10" t="s">
        <v>3610</v>
      </c>
      <c r="F863" s="10" t="s">
        <v>114</v>
      </c>
      <c r="G863" s="10" t="s">
        <v>190</v>
      </c>
      <c r="H863" s="10" t="s">
        <v>74</v>
      </c>
      <c r="I863" s="10" t="str">
        <f>HYPERLINK("http://pellasportswear.com/","pellasportswear.com")</f>
        <v>pellasportswear.com</v>
      </c>
      <c r="J863" s="12">
        <v>542.24699999999996</v>
      </c>
      <c r="K863" s="12">
        <v>542.24699999999996</v>
      </c>
      <c r="L863" s="12">
        <v>722.16800000000001</v>
      </c>
      <c r="M863" s="12">
        <v>2.2799999999999998</v>
      </c>
      <c r="N863" s="12">
        <v>2.2799999999999998</v>
      </c>
      <c r="O863" s="12">
        <v>8.5449999999999999</v>
      </c>
      <c r="P863" s="13" t="s">
        <v>24</v>
      </c>
      <c r="Q863" s="13" t="s">
        <v>24</v>
      </c>
      <c r="R863" s="12">
        <v>10</v>
      </c>
    </row>
    <row r="864" spans="1:18" ht="17" customHeight="1" x14ac:dyDescent="0.2">
      <c r="A864" s="5" t="s">
        <v>3611</v>
      </c>
      <c r="B864" s="6" t="s">
        <v>3612</v>
      </c>
      <c r="C864" s="5" t="s">
        <v>3613</v>
      </c>
      <c r="D864" s="5" t="s">
        <v>3613</v>
      </c>
      <c r="E864" s="5" t="s">
        <v>3614</v>
      </c>
      <c r="F864" s="5" t="s">
        <v>72</v>
      </c>
      <c r="G864" s="5" t="s">
        <v>73</v>
      </c>
      <c r="H864" s="5" t="s">
        <v>74</v>
      </c>
      <c r="I864" s="5" t="str">
        <f>HYPERLINK("http://footsocks.com/","footsocks.com")</f>
        <v>footsocks.com</v>
      </c>
      <c r="J864" s="7">
        <v>455.40499999999997</v>
      </c>
      <c r="K864" s="7">
        <v>455.40499999999997</v>
      </c>
      <c r="L864" s="8">
        <v>721.81299999999999</v>
      </c>
      <c r="M864" s="7">
        <v>-26.042000000000002</v>
      </c>
      <c r="N864" s="7">
        <v>-26.042000000000002</v>
      </c>
      <c r="O864" s="7">
        <v>-17.393000000000001</v>
      </c>
      <c r="P864" s="7">
        <v>3</v>
      </c>
      <c r="Q864" s="7">
        <v>3</v>
      </c>
      <c r="R864" s="7">
        <v>5</v>
      </c>
    </row>
    <row r="865" spans="1:18" ht="17" customHeight="1" x14ac:dyDescent="0.2">
      <c r="A865" s="10" t="s">
        <v>3615</v>
      </c>
      <c r="B865" s="11" t="s">
        <v>3616</v>
      </c>
      <c r="C865" s="10" t="s">
        <v>3617</v>
      </c>
      <c r="D865" s="10" t="s">
        <v>3618</v>
      </c>
      <c r="E865" s="10" t="s">
        <v>3619</v>
      </c>
      <c r="F865" s="10" t="s">
        <v>41</v>
      </c>
      <c r="G865" s="10" t="s">
        <v>42</v>
      </c>
      <c r="H865" s="10" t="s">
        <v>43</v>
      </c>
      <c r="I865" s="10" t="str">
        <f>HYPERLINK("http://pelleitalia.com/","pelleitalia.com")</f>
        <v>pelleitalia.com</v>
      </c>
      <c r="J865" s="12">
        <v>718.32600000000002</v>
      </c>
      <c r="K865" s="12">
        <v>718.32600000000002</v>
      </c>
      <c r="L865" s="12">
        <v>721.53399999999999</v>
      </c>
      <c r="M865" s="12">
        <v>15.009</v>
      </c>
      <c r="N865" s="12">
        <v>15.009</v>
      </c>
      <c r="O865" s="12">
        <v>97.539000000000001</v>
      </c>
      <c r="P865" s="13" t="s">
        <v>24</v>
      </c>
      <c r="Q865" s="13" t="s">
        <v>24</v>
      </c>
      <c r="R865" s="12">
        <v>1</v>
      </c>
    </row>
    <row r="866" spans="1:18" ht="29.5" customHeight="1" x14ac:dyDescent="0.2">
      <c r="A866" s="5" t="s">
        <v>3620</v>
      </c>
      <c r="B866" s="6" t="s">
        <v>3621</v>
      </c>
      <c r="C866" s="5" t="s">
        <v>3622</v>
      </c>
      <c r="D866" s="5" t="s">
        <v>3622</v>
      </c>
      <c r="E866" s="5" t="s">
        <v>3623</v>
      </c>
      <c r="F866" s="5" t="s">
        <v>105</v>
      </c>
      <c r="G866" s="5" t="s">
        <v>49</v>
      </c>
      <c r="H866" s="5" t="s">
        <v>23</v>
      </c>
      <c r="I866" s="5" t="str">
        <f>HYPERLINK("http://www.gemositalia.com/","www.gemositalia.com")</f>
        <v>www.gemositalia.com</v>
      </c>
      <c r="J866" s="7">
        <v>1988.7650000000001</v>
      </c>
      <c r="K866" s="7">
        <v>1651.095</v>
      </c>
      <c r="L866" s="8">
        <v>720.77499999999998</v>
      </c>
      <c r="M866" s="7">
        <v>46.106000000000002</v>
      </c>
      <c r="N866" s="7">
        <v>10.615</v>
      </c>
      <c r="O866" s="7">
        <v>1.901</v>
      </c>
      <c r="P866" s="9" t="s">
        <v>24</v>
      </c>
      <c r="Q866" s="9" t="s">
        <v>24</v>
      </c>
      <c r="R866" s="7">
        <v>4</v>
      </c>
    </row>
    <row r="867" spans="1:18" ht="17" customHeight="1" x14ac:dyDescent="0.2">
      <c r="A867" s="10" t="s">
        <v>3624</v>
      </c>
      <c r="B867" s="11" t="s">
        <v>3625</v>
      </c>
      <c r="C867" s="10" t="s">
        <v>3626</v>
      </c>
      <c r="D867" s="10" t="s">
        <v>3626</v>
      </c>
      <c r="E867" s="10" t="s">
        <v>3627</v>
      </c>
      <c r="F867" s="10" t="s">
        <v>114</v>
      </c>
      <c r="G867" s="10" t="s">
        <v>463</v>
      </c>
      <c r="H867" s="10" t="s">
        <v>31</v>
      </c>
      <c r="I867" s="10" t="str">
        <f>HYPERLINK("http://www.bsposa.it/","www.bsposa.it")</f>
        <v>www.bsposa.it</v>
      </c>
      <c r="J867" s="12">
        <v>820.86300000000006</v>
      </c>
      <c r="K867" s="12">
        <v>820.86300000000006</v>
      </c>
      <c r="L867" s="12">
        <v>719.72699999999998</v>
      </c>
      <c r="M867" s="12">
        <v>26.779</v>
      </c>
      <c r="N867" s="12">
        <v>26.779</v>
      </c>
      <c r="O867" s="12">
        <v>-132.673</v>
      </c>
      <c r="P867" s="12">
        <v>10</v>
      </c>
      <c r="Q867" s="12">
        <v>10</v>
      </c>
      <c r="R867" s="12">
        <v>13</v>
      </c>
    </row>
    <row r="868" spans="1:18" ht="17" customHeight="1" x14ac:dyDescent="0.2">
      <c r="A868" s="5" t="s">
        <v>3628</v>
      </c>
      <c r="B868" s="6" t="s">
        <v>3629</v>
      </c>
      <c r="C868" s="5" t="s">
        <v>3630</v>
      </c>
      <c r="D868" s="5" t="s">
        <v>3630</v>
      </c>
      <c r="E868" s="5" t="s">
        <v>3631</v>
      </c>
      <c r="F868" s="5" t="s">
        <v>29</v>
      </c>
      <c r="G868" s="5" t="s">
        <v>42</v>
      </c>
      <c r="H868" s="5" t="s">
        <v>43</v>
      </c>
      <c r="I868" s="5" t="str">
        <f>HYPERLINK("http://www.prima-linea.it/","www.prima-linea.it")</f>
        <v>www.prima-linea.it</v>
      </c>
      <c r="J868" s="7">
        <v>907.202</v>
      </c>
      <c r="K868" s="7">
        <v>907.202</v>
      </c>
      <c r="L868" s="8">
        <v>718.53599999999994</v>
      </c>
      <c r="M868" s="7">
        <v>18.914999999999999</v>
      </c>
      <c r="N868" s="7">
        <v>18.914999999999999</v>
      </c>
      <c r="O868" s="7">
        <v>4.4619999999999997</v>
      </c>
      <c r="P868" s="7">
        <v>14</v>
      </c>
      <c r="Q868" s="7">
        <v>14</v>
      </c>
      <c r="R868" s="7">
        <v>14</v>
      </c>
    </row>
    <row r="869" spans="1:18" ht="17" customHeight="1" x14ac:dyDescent="0.2">
      <c r="A869" s="10" t="s">
        <v>3632</v>
      </c>
      <c r="B869" s="11" t="s">
        <v>3633</v>
      </c>
      <c r="C869" s="10" t="s">
        <v>3634</v>
      </c>
      <c r="D869" s="10" t="s">
        <v>3634</v>
      </c>
      <c r="E869" s="10" t="s">
        <v>3635</v>
      </c>
      <c r="F869" s="10" t="s">
        <v>21</v>
      </c>
      <c r="G869" s="10" t="s">
        <v>115</v>
      </c>
      <c r="H869" s="10" t="s">
        <v>43</v>
      </c>
      <c r="I869" s="10" t="str">
        <f>HYPERLINK("http://www.paoul.com/","www.paoul.com")</f>
        <v>www.paoul.com</v>
      </c>
      <c r="J869" s="12">
        <v>898.83699999999999</v>
      </c>
      <c r="K869" s="12">
        <v>898.83699999999999</v>
      </c>
      <c r="L869" s="12">
        <v>717.54100000000005</v>
      </c>
      <c r="M869" s="12">
        <v>10.989000000000001</v>
      </c>
      <c r="N869" s="12">
        <v>10.989000000000001</v>
      </c>
      <c r="O869" s="12">
        <v>6.22</v>
      </c>
      <c r="P869" s="12">
        <v>10</v>
      </c>
      <c r="Q869" s="12">
        <v>10</v>
      </c>
      <c r="R869" s="12">
        <v>11</v>
      </c>
    </row>
    <row r="870" spans="1:18" ht="17" customHeight="1" x14ac:dyDescent="0.2">
      <c r="A870" s="5" t="s">
        <v>3636</v>
      </c>
      <c r="B870" s="6" t="s">
        <v>3637</v>
      </c>
      <c r="C870" s="5" t="s">
        <v>3638</v>
      </c>
      <c r="D870" s="5" t="s">
        <v>3638</v>
      </c>
      <c r="E870" s="5" t="s">
        <v>3639</v>
      </c>
      <c r="F870" s="5" t="s">
        <v>114</v>
      </c>
      <c r="G870" s="5" t="s">
        <v>1013</v>
      </c>
      <c r="H870" s="5" t="s">
        <v>43</v>
      </c>
      <c r="I870" s="5" t="str">
        <f>HYPERLINK("http://alterfashionstudio.it/","alterfashionstudio.it")</f>
        <v>alterfashionstudio.it</v>
      </c>
      <c r="J870" s="7">
        <v>736.96799999999996</v>
      </c>
      <c r="K870" s="7">
        <v>736.96799999999996</v>
      </c>
      <c r="L870" s="8">
        <v>717.22799999999995</v>
      </c>
      <c r="M870" s="7">
        <v>31.437000000000001</v>
      </c>
      <c r="N870" s="7">
        <v>31.437000000000001</v>
      </c>
      <c r="O870" s="7">
        <v>10.349</v>
      </c>
      <c r="P870" s="9" t="s">
        <v>24</v>
      </c>
      <c r="Q870" s="9" t="s">
        <v>24</v>
      </c>
      <c r="R870" s="7">
        <v>3</v>
      </c>
    </row>
    <row r="871" spans="1:18" ht="17" customHeight="1" x14ac:dyDescent="0.2">
      <c r="A871" s="10" t="s">
        <v>3640</v>
      </c>
      <c r="B871" s="11" t="s">
        <v>3641</v>
      </c>
      <c r="C871" s="10" t="s">
        <v>3642</v>
      </c>
      <c r="D871" s="10" t="s">
        <v>3642</v>
      </c>
      <c r="E871" s="10" t="s">
        <v>3643</v>
      </c>
      <c r="F871" s="10" t="s">
        <v>367</v>
      </c>
      <c r="G871" s="10" t="s">
        <v>100</v>
      </c>
      <c r="H871" s="10" t="s">
        <v>62</v>
      </c>
      <c r="I871" s="10" t="str">
        <f>HYPERLINK("http://www.deltawear.es/","www.deltawear.es")</f>
        <v>www.deltawear.es</v>
      </c>
      <c r="J871" s="12">
        <v>711.94500000000005</v>
      </c>
      <c r="K871" s="12">
        <v>711.94500000000005</v>
      </c>
      <c r="L871" s="12">
        <v>716.56299999999999</v>
      </c>
      <c r="M871" s="12">
        <v>-17.056999999999999</v>
      </c>
      <c r="N871" s="12">
        <v>-17.056999999999999</v>
      </c>
      <c r="O871" s="12">
        <v>63.218000000000004</v>
      </c>
      <c r="P871" s="13" t="s">
        <v>24</v>
      </c>
      <c r="Q871" s="13" t="s">
        <v>24</v>
      </c>
      <c r="R871" s="12">
        <v>7</v>
      </c>
    </row>
    <row r="872" spans="1:18" ht="17" customHeight="1" x14ac:dyDescent="0.2">
      <c r="A872" s="5" t="s">
        <v>3644</v>
      </c>
      <c r="B872" s="6" t="s">
        <v>3645</v>
      </c>
      <c r="C872" s="5" t="s">
        <v>3646</v>
      </c>
      <c r="D872" s="5" t="s">
        <v>3646</v>
      </c>
      <c r="E872" s="5" t="s">
        <v>3647</v>
      </c>
      <c r="F872" s="5" t="s">
        <v>29</v>
      </c>
      <c r="G872" s="5" t="s">
        <v>211</v>
      </c>
      <c r="H872" s="5" t="s">
        <v>74</v>
      </c>
      <c r="I872" s="5" t="str">
        <f>HYPERLINK("http://pielleitalia.com/","pielleitalia.com")</f>
        <v>pielleitalia.com</v>
      </c>
      <c r="J872" s="7">
        <v>712.02599999999995</v>
      </c>
      <c r="K872" s="7">
        <v>712.02599999999995</v>
      </c>
      <c r="L872" s="8">
        <v>716.52099999999996</v>
      </c>
      <c r="M872" s="7">
        <v>12.254</v>
      </c>
      <c r="N872" s="7">
        <v>12.254</v>
      </c>
      <c r="O872" s="7">
        <v>-123.73099999999999</v>
      </c>
      <c r="P872" s="9" t="s">
        <v>24</v>
      </c>
      <c r="Q872" s="9" t="s">
        <v>24</v>
      </c>
      <c r="R872" s="7">
        <v>7</v>
      </c>
    </row>
    <row r="873" spans="1:18" ht="17" customHeight="1" x14ac:dyDescent="0.2">
      <c r="A873" s="10" t="s">
        <v>3648</v>
      </c>
      <c r="B873" s="11" t="s">
        <v>3649</v>
      </c>
      <c r="C873" s="10" t="s">
        <v>3650</v>
      </c>
      <c r="D873" s="10" t="s">
        <v>3650</v>
      </c>
      <c r="E873" s="10" t="s">
        <v>3651</v>
      </c>
      <c r="F873" s="10" t="s">
        <v>41</v>
      </c>
      <c r="G873" s="10" t="s">
        <v>42</v>
      </c>
      <c r="H873" s="10" t="s">
        <v>43</v>
      </c>
      <c r="I873" s="10" t="str">
        <f>HYPERLINK("http://www.margisrl.mobi/","www.margisrl.mobi")</f>
        <v>www.margisrl.mobi</v>
      </c>
      <c r="J873" s="12">
        <v>615.28700000000003</v>
      </c>
      <c r="K873" s="12">
        <v>615.28700000000003</v>
      </c>
      <c r="L873" s="12">
        <v>715.40099999999995</v>
      </c>
      <c r="M873" s="12">
        <v>-2.4380000000000002</v>
      </c>
      <c r="N873" s="12">
        <v>-2.4380000000000002</v>
      </c>
      <c r="O873" s="12">
        <v>-81.453000000000003</v>
      </c>
      <c r="P873" s="12">
        <v>9</v>
      </c>
      <c r="Q873" s="12">
        <v>9</v>
      </c>
      <c r="R873" s="12">
        <v>11</v>
      </c>
    </row>
    <row r="874" spans="1:18" ht="29.5" customHeight="1" x14ac:dyDescent="0.2">
      <c r="A874" s="5" t="s">
        <v>3652</v>
      </c>
      <c r="B874" s="6" t="s">
        <v>3653</v>
      </c>
      <c r="C874" s="5" t="s">
        <v>3654</v>
      </c>
      <c r="D874" s="5" t="s">
        <v>3654</v>
      </c>
      <c r="E874" s="5" t="s">
        <v>3655</v>
      </c>
      <c r="F874" s="5" t="s">
        <v>48</v>
      </c>
      <c r="G874" s="5" t="s">
        <v>42</v>
      </c>
      <c r="H874" s="5" t="s">
        <v>43</v>
      </c>
      <c r="I874" s="5" t="str">
        <f>HYPERLINK("http://amabilia.it/","amabilia.it")</f>
        <v>amabilia.it</v>
      </c>
      <c r="J874" s="7">
        <v>818.89499999999998</v>
      </c>
      <c r="K874" s="7">
        <v>818.89499999999998</v>
      </c>
      <c r="L874" s="8">
        <v>714.88</v>
      </c>
      <c r="M874" s="7">
        <v>5.625</v>
      </c>
      <c r="N874" s="7">
        <v>5.625</v>
      </c>
      <c r="O874" s="7">
        <v>-12.868</v>
      </c>
      <c r="P874" s="7">
        <v>9</v>
      </c>
      <c r="Q874" s="7">
        <v>9</v>
      </c>
      <c r="R874" s="7">
        <v>8</v>
      </c>
    </row>
    <row r="875" spans="1:18" ht="17" customHeight="1" x14ac:dyDescent="0.2">
      <c r="A875" s="10" t="s">
        <v>3656</v>
      </c>
      <c r="B875" s="11" t="s">
        <v>3657</v>
      </c>
      <c r="C875" s="10" t="s">
        <v>3658</v>
      </c>
      <c r="D875" s="10" t="s">
        <v>3658</v>
      </c>
      <c r="E875" s="10" t="s">
        <v>3659</v>
      </c>
      <c r="F875" s="10" t="s">
        <v>29</v>
      </c>
      <c r="G875" s="10" t="s">
        <v>190</v>
      </c>
      <c r="H875" s="10" t="s">
        <v>74</v>
      </c>
      <c r="I875" s="10" t="str">
        <f>HYPERLINK("http://www.comiconfezioni.it/","http://www.comiconfezioni.it")</f>
        <v>http://www.comiconfezioni.it</v>
      </c>
      <c r="J875" s="12">
        <v>1118.837</v>
      </c>
      <c r="K875" s="12">
        <v>1118.837</v>
      </c>
      <c r="L875" s="12">
        <v>712.68399999999997</v>
      </c>
      <c r="M875" s="12">
        <v>10.045</v>
      </c>
      <c r="N875" s="12">
        <v>10.045</v>
      </c>
      <c r="O875" s="12">
        <v>5.5730000000000004</v>
      </c>
      <c r="P875" s="12">
        <v>2</v>
      </c>
      <c r="Q875" s="12">
        <v>2</v>
      </c>
      <c r="R875" s="12">
        <v>2</v>
      </c>
    </row>
    <row r="876" spans="1:18" ht="17" customHeight="1" x14ac:dyDescent="0.2">
      <c r="A876" s="5" t="s">
        <v>3660</v>
      </c>
      <c r="B876" s="6" t="s">
        <v>3661</v>
      </c>
      <c r="C876" s="5" t="s">
        <v>3662</v>
      </c>
      <c r="D876" s="5" t="s">
        <v>3662</v>
      </c>
      <c r="E876" s="5" t="s">
        <v>3663</v>
      </c>
      <c r="F876" s="5" t="s">
        <v>48</v>
      </c>
      <c r="G876" s="5" t="s">
        <v>115</v>
      </c>
      <c r="H876" s="5" t="s">
        <v>43</v>
      </c>
      <c r="I876" s="5" t="str">
        <f>HYPERLINK("http://www.itakasrl.com/","www.itakasrl.com")</f>
        <v>www.itakasrl.com</v>
      </c>
      <c r="J876" s="7">
        <v>888.32600000000002</v>
      </c>
      <c r="K876" s="7">
        <v>888.32600000000002</v>
      </c>
      <c r="L876" s="8">
        <v>712.72</v>
      </c>
      <c r="M876" s="7">
        <v>-13.664999999999999</v>
      </c>
      <c r="N876" s="7">
        <v>-13.664999999999999</v>
      </c>
      <c r="O876" s="7">
        <v>3.6669999999999998</v>
      </c>
      <c r="P876" s="7">
        <v>4</v>
      </c>
      <c r="Q876" s="7">
        <v>4</v>
      </c>
      <c r="R876" s="7">
        <v>3</v>
      </c>
    </row>
    <row r="877" spans="1:18" ht="17" customHeight="1" x14ac:dyDescent="0.2">
      <c r="A877" s="10" t="s">
        <v>3664</v>
      </c>
      <c r="B877" s="11" t="s">
        <v>3665</v>
      </c>
      <c r="C877" s="10" t="s">
        <v>3666</v>
      </c>
      <c r="D877" s="10" t="s">
        <v>3666</v>
      </c>
      <c r="E877" s="10" t="s">
        <v>3667</v>
      </c>
      <c r="F877" s="10" t="s">
        <v>376</v>
      </c>
      <c r="G877" s="10" t="s">
        <v>140</v>
      </c>
      <c r="H877" s="10" t="s">
        <v>43</v>
      </c>
      <c r="I877" s="10" t="str">
        <f>HYPERLINK("http://www.calzaturificiomepres.com/","www.calzaturificiomepres.com")</f>
        <v>www.calzaturificiomepres.com</v>
      </c>
      <c r="J877" s="12">
        <v>496.30200000000002</v>
      </c>
      <c r="K877" s="12">
        <v>496.30200000000002</v>
      </c>
      <c r="L877" s="12">
        <v>712.40599999999995</v>
      </c>
      <c r="M877" s="12">
        <v>9.35</v>
      </c>
      <c r="N877" s="12">
        <v>9.35</v>
      </c>
      <c r="O877" s="12">
        <v>37.109000000000002</v>
      </c>
      <c r="P877" s="12">
        <v>7</v>
      </c>
      <c r="Q877" s="12">
        <v>7</v>
      </c>
      <c r="R877" s="12">
        <v>12</v>
      </c>
    </row>
    <row r="878" spans="1:18" ht="17" customHeight="1" x14ac:dyDescent="0.2">
      <c r="A878" s="5" t="s">
        <v>3668</v>
      </c>
      <c r="B878" s="6" t="s">
        <v>3669</v>
      </c>
      <c r="C878" s="5" t="s">
        <v>3670</v>
      </c>
      <c r="D878" s="5" t="s">
        <v>3670</v>
      </c>
      <c r="E878" s="5" t="s">
        <v>3671</v>
      </c>
      <c r="F878" s="5" t="s">
        <v>114</v>
      </c>
      <c r="G878" s="5" t="s">
        <v>2957</v>
      </c>
      <c r="H878" s="5" t="s">
        <v>121</v>
      </c>
      <c r="I878" s="5" t="str">
        <f>HYPERLINK("http://www.confezionigierre.it/","www.confezionigierre.it")</f>
        <v>www.confezionigierre.it</v>
      </c>
      <c r="J878" s="7">
        <v>571.74400000000003</v>
      </c>
      <c r="K878" s="7">
        <v>571.74400000000003</v>
      </c>
      <c r="L878" s="8">
        <v>711.779</v>
      </c>
      <c r="M878" s="7">
        <v>35.14</v>
      </c>
      <c r="N878" s="7">
        <v>35.14</v>
      </c>
      <c r="O878" s="7">
        <v>33.246000000000002</v>
      </c>
      <c r="P878" s="7">
        <v>12</v>
      </c>
      <c r="Q878" s="7">
        <v>12</v>
      </c>
      <c r="R878" s="7">
        <v>7</v>
      </c>
    </row>
    <row r="879" spans="1:18" ht="17" customHeight="1" x14ac:dyDescent="0.2">
      <c r="A879" s="10" t="s">
        <v>3672</v>
      </c>
      <c r="B879" s="11" t="s">
        <v>3673</v>
      </c>
      <c r="C879" s="10" t="s">
        <v>3674</v>
      </c>
      <c r="D879" s="10" t="s">
        <v>3674</v>
      </c>
      <c r="E879" s="10" t="s">
        <v>3675</v>
      </c>
      <c r="F879" s="10" t="s">
        <v>21</v>
      </c>
      <c r="G879" s="10" t="s">
        <v>89</v>
      </c>
      <c r="H879" s="10" t="s">
        <v>56</v>
      </c>
      <c r="I879" s="10" t="str">
        <f>HYPERLINK("http://www.king.it/","www.king.it")</f>
        <v>www.king.it</v>
      </c>
      <c r="J879" s="12">
        <v>714.53899999999999</v>
      </c>
      <c r="K879" s="12">
        <v>714.53899999999999</v>
      </c>
      <c r="L879" s="12">
        <v>711.73699999999997</v>
      </c>
      <c r="M879" s="12">
        <v>0.85099999999999998</v>
      </c>
      <c r="N879" s="12">
        <v>0.85099999999999998</v>
      </c>
      <c r="O879" s="12">
        <v>1.24</v>
      </c>
      <c r="P879" s="12">
        <v>4</v>
      </c>
      <c r="Q879" s="12">
        <v>4</v>
      </c>
      <c r="R879" s="12">
        <v>4</v>
      </c>
    </row>
    <row r="880" spans="1:18" ht="29.5" customHeight="1" x14ac:dyDescent="0.2">
      <c r="A880" s="5" t="s">
        <v>3676</v>
      </c>
      <c r="B880" s="6" t="s">
        <v>3677</v>
      </c>
      <c r="C880" s="5" t="s">
        <v>3678</v>
      </c>
      <c r="D880" s="5" t="s">
        <v>3678</v>
      </c>
      <c r="E880" s="5" t="s">
        <v>3679</v>
      </c>
      <c r="F880" s="5" t="s">
        <v>367</v>
      </c>
      <c r="G880" s="5" t="s">
        <v>120</v>
      </c>
      <c r="H880" s="5" t="s">
        <v>121</v>
      </c>
      <c r="I880" s="5" t="str">
        <f>HYPERLINK("http://hair.westrose.it/","hair.westrose.it")</f>
        <v>hair.westrose.it</v>
      </c>
      <c r="J880" s="7">
        <v>793.59199999999998</v>
      </c>
      <c r="K880" s="7">
        <v>793.59199999999998</v>
      </c>
      <c r="L880" s="8">
        <v>710.71799999999996</v>
      </c>
      <c r="M880" s="7">
        <v>5.7439999999999998</v>
      </c>
      <c r="N880" s="7">
        <v>5.7439999999999998</v>
      </c>
      <c r="O880" s="7">
        <v>2.0310000000000001</v>
      </c>
      <c r="P880" s="7">
        <v>9</v>
      </c>
      <c r="Q880" s="7">
        <v>9</v>
      </c>
      <c r="R880" s="7">
        <v>5</v>
      </c>
    </row>
    <row r="881" spans="1:18" ht="17" customHeight="1" x14ac:dyDescent="0.2">
      <c r="A881" s="10" t="s">
        <v>3680</v>
      </c>
      <c r="B881" s="11" t="s">
        <v>3681</v>
      </c>
      <c r="C881" s="10" t="s">
        <v>3682</v>
      </c>
      <c r="D881" s="10" t="s">
        <v>3682</v>
      </c>
      <c r="E881" s="10" t="s">
        <v>3683</v>
      </c>
      <c r="F881" s="10" t="s">
        <v>21</v>
      </c>
      <c r="G881" s="10" t="s">
        <v>89</v>
      </c>
      <c r="H881" s="10" t="s">
        <v>56</v>
      </c>
      <c r="I881" s="10" t="str">
        <f>HYPERLINK("http://www.calzaturificioromitellishoes.com/","www.calzaturificioromitellishoes.com")</f>
        <v>www.calzaturificioromitellishoes.com</v>
      </c>
      <c r="J881" s="12">
        <v>618.71900000000005</v>
      </c>
      <c r="K881" s="12">
        <v>618.71900000000005</v>
      </c>
      <c r="L881" s="12">
        <v>709.85</v>
      </c>
      <c r="M881" s="12">
        <v>10.42</v>
      </c>
      <c r="N881" s="12">
        <v>10.42</v>
      </c>
      <c r="O881" s="12">
        <v>5.0819999999999999</v>
      </c>
      <c r="P881" s="13" t="s">
        <v>24</v>
      </c>
      <c r="Q881" s="13" t="s">
        <v>24</v>
      </c>
      <c r="R881" s="12">
        <v>9</v>
      </c>
    </row>
    <row r="882" spans="1:18" ht="17" customHeight="1" x14ac:dyDescent="0.2">
      <c r="A882" s="5" t="s">
        <v>3684</v>
      </c>
      <c r="B882" s="6" t="s">
        <v>3685</v>
      </c>
      <c r="C882" s="5" t="s">
        <v>3686</v>
      </c>
      <c r="D882" s="5" t="s">
        <v>3686</v>
      </c>
      <c r="E882" s="5" t="s">
        <v>3687</v>
      </c>
      <c r="F882" s="5" t="s">
        <v>48</v>
      </c>
      <c r="G882" s="5" t="s">
        <v>381</v>
      </c>
      <c r="H882" s="5" t="s">
        <v>23</v>
      </c>
      <c r="I882" s="5" t="str">
        <f>HYPERLINK("http://www.traibecca.com/","www.traibecca.com")</f>
        <v>www.traibecca.com</v>
      </c>
      <c r="J882" s="7">
        <v>832.56500000000005</v>
      </c>
      <c r="K882" s="7">
        <v>832.56500000000005</v>
      </c>
      <c r="L882" s="8">
        <v>708.5</v>
      </c>
      <c r="M882" s="7">
        <v>-1.6259999999999999</v>
      </c>
      <c r="N882" s="7">
        <v>-1.6259999999999999</v>
      </c>
      <c r="O882" s="7">
        <v>-21.190999999999999</v>
      </c>
      <c r="P882" s="9" t="s">
        <v>24</v>
      </c>
      <c r="Q882" s="9" t="s">
        <v>24</v>
      </c>
      <c r="R882" s="7">
        <v>20</v>
      </c>
    </row>
    <row r="883" spans="1:18" ht="17" customHeight="1" x14ac:dyDescent="0.2">
      <c r="A883" s="10" t="s">
        <v>3688</v>
      </c>
      <c r="B883" s="11" t="s">
        <v>3689</v>
      </c>
      <c r="C883" s="10" t="s">
        <v>3690</v>
      </c>
      <c r="D883" s="10" t="s">
        <v>3690</v>
      </c>
      <c r="E883" s="10" t="s">
        <v>3691</v>
      </c>
      <c r="F883" s="10" t="s">
        <v>462</v>
      </c>
      <c r="G883" s="10" t="s">
        <v>274</v>
      </c>
      <c r="H883" s="10" t="s">
        <v>31</v>
      </c>
      <c r="I883" s="10" t="str">
        <f>HYPERLINK("http://www.dvn.it/","www.dvn.it")</f>
        <v>www.dvn.it</v>
      </c>
      <c r="J883" s="12">
        <v>436.58199999999999</v>
      </c>
      <c r="K883" s="12">
        <v>436.58199999999999</v>
      </c>
      <c r="L883" s="12">
        <v>708.34400000000005</v>
      </c>
      <c r="M883" s="12">
        <v>25.143999999999998</v>
      </c>
      <c r="N883" s="12">
        <v>25.143999999999998</v>
      </c>
      <c r="O883" s="12">
        <v>44.841999999999999</v>
      </c>
      <c r="P883" s="13" t="s">
        <v>24</v>
      </c>
      <c r="Q883" s="13" t="s">
        <v>24</v>
      </c>
      <c r="R883" s="12">
        <v>2</v>
      </c>
    </row>
    <row r="884" spans="1:18" ht="17" customHeight="1" x14ac:dyDescent="0.2">
      <c r="A884" s="5" t="s">
        <v>3692</v>
      </c>
      <c r="B884" s="6" t="s">
        <v>3693</v>
      </c>
      <c r="C884" s="5" t="s">
        <v>3694</v>
      </c>
      <c r="D884" s="5" t="s">
        <v>3694</v>
      </c>
      <c r="E884" s="5" t="s">
        <v>3695</v>
      </c>
      <c r="F884" s="5" t="s">
        <v>462</v>
      </c>
      <c r="G884" s="5" t="s">
        <v>298</v>
      </c>
      <c r="H884" s="5" t="s">
        <v>299</v>
      </c>
      <c r="I884" s="5" t="str">
        <f>HYPERLINK("http://www.mayete.it/","www.mayete.it")</f>
        <v>www.mayete.it</v>
      </c>
      <c r="J884" s="7">
        <v>739.88800000000003</v>
      </c>
      <c r="K884" s="7">
        <v>739.88800000000003</v>
      </c>
      <c r="L884" s="8">
        <v>708.22500000000002</v>
      </c>
      <c r="M884" s="7">
        <v>1.117</v>
      </c>
      <c r="N884" s="7">
        <v>1.117</v>
      </c>
      <c r="O884" s="7">
        <v>33.573999999999998</v>
      </c>
      <c r="P884" s="9" t="s">
        <v>24</v>
      </c>
      <c r="Q884" s="9" t="s">
        <v>24</v>
      </c>
      <c r="R884" s="7">
        <v>14</v>
      </c>
    </row>
    <row r="885" spans="1:18" ht="29.5" customHeight="1" x14ac:dyDescent="0.2">
      <c r="A885" s="10" t="s">
        <v>3696</v>
      </c>
      <c r="B885" s="11" t="s">
        <v>3697</v>
      </c>
      <c r="C885" s="10" t="s">
        <v>3698</v>
      </c>
      <c r="D885" s="10" t="s">
        <v>3698</v>
      </c>
      <c r="E885" s="10" t="s">
        <v>3699</v>
      </c>
      <c r="F885" s="10" t="s">
        <v>48</v>
      </c>
      <c r="G885" s="10" t="s">
        <v>36</v>
      </c>
      <c r="H885" s="10" t="s">
        <v>23</v>
      </c>
      <c r="I885" s="10" t="str">
        <f>HYPERLINK("http://www.dooney.com/","www.dooney.com")</f>
        <v>www.dooney.com</v>
      </c>
      <c r="J885" s="12">
        <v>1184.1079999999999</v>
      </c>
      <c r="K885" s="12">
        <v>1184.1079999999999</v>
      </c>
      <c r="L885" s="12">
        <v>706.43899999999996</v>
      </c>
      <c r="M885" s="12">
        <v>32.921999999999997</v>
      </c>
      <c r="N885" s="12">
        <v>32.921999999999997</v>
      </c>
      <c r="O885" s="12">
        <v>-3.8479999999999999</v>
      </c>
      <c r="P885" s="12">
        <v>4</v>
      </c>
      <c r="Q885" s="12">
        <v>4</v>
      </c>
      <c r="R885" s="12">
        <v>5</v>
      </c>
    </row>
    <row r="886" spans="1:18" ht="17" customHeight="1" x14ac:dyDescent="0.2">
      <c r="A886" s="5" t="s">
        <v>3700</v>
      </c>
      <c r="B886" s="6" t="s">
        <v>3701</v>
      </c>
      <c r="C886" s="5" t="s">
        <v>3702</v>
      </c>
      <c r="D886" s="5" t="s">
        <v>3702</v>
      </c>
      <c r="E886" s="5" t="s">
        <v>3703</v>
      </c>
      <c r="F886" s="5" t="s">
        <v>48</v>
      </c>
      <c r="G886" s="5" t="s">
        <v>79</v>
      </c>
      <c r="H886" s="5" t="s">
        <v>56</v>
      </c>
      <c r="I886" s="5" t="str">
        <f>HYPERLINK("http://studioimmaginelab.it/","studioimmaginelab.it")</f>
        <v>studioimmaginelab.it</v>
      </c>
      <c r="J886" s="7">
        <v>601.125</v>
      </c>
      <c r="K886" s="7">
        <v>601.125</v>
      </c>
      <c r="L886" s="8">
        <v>705.05</v>
      </c>
      <c r="M886" s="7">
        <v>25.536000000000001</v>
      </c>
      <c r="N886" s="7">
        <v>25.536000000000001</v>
      </c>
      <c r="O886" s="7">
        <v>33.530999999999999</v>
      </c>
      <c r="P886" s="7">
        <v>8</v>
      </c>
      <c r="Q886" s="7">
        <v>8</v>
      </c>
      <c r="R886" s="7">
        <v>14</v>
      </c>
    </row>
    <row r="887" spans="1:18" ht="17" customHeight="1" x14ac:dyDescent="0.2">
      <c r="A887" s="10" t="s">
        <v>3704</v>
      </c>
      <c r="B887" s="11" t="s">
        <v>3705</v>
      </c>
      <c r="C887" s="10" t="s">
        <v>3706</v>
      </c>
      <c r="D887" s="10" t="s">
        <v>3706</v>
      </c>
      <c r="E887" s="10" t="s">
        <v>3707</v>
      </c>
      <c r="F887" s="10" t="s">
        <v>41</v>
      </c>
      <c r="G887" s="10" t="s">
        <v>224</v>
      </c>
      <c r="H887" s="10" t="s">
        <v>23</v>
      </c>
      <c r="I887" s="10" t="str">
        <f>HYPERLINK("http://www.marpellsrl.it/","www.marpellsrl.it")</f>
        <v>www.marpellsrl.it</v>
      </c>
      <c r="J887" s="12">
        <v>707.29600000000005</v>
      </c>
      <c r="K887" s="12">
        <v>707.29600000000005</v>
      </c>
      <c r="L887" s="12">
        <v>704.83</v>
      </c>
      <c r="M887" s="12">
        <v>132.15100000000001</v>
      </c>
      <c r="N887" s="12">
        <v>132.15100000000001</v>
      </c>
      <c r="O887" s="12">
        <v>59.259</v>
      </c>
      <c r="P887" s="12">
        <v>4</v>
      </c>
      <c r="Q887" s="12">
        <v>4</v>
      </c>
      <c r="R887" s="12">
        <v>5</v>
      </c>
    </row>
    <row r="888" spans="1:18" ht="29.5" customHeight="1" x14ac:dyDescent="0.2">
      <c r="A888" s="5" t="s">
        <v>3708</v>
      </c>
      <c r="B888" s="6" t="s">
        <v>3709</v>
      </c>
      <c r="C888" s="5" t="s">
        <v>3710</v>
      </c>
      <c r="D888" s="5" t="s">
        <v>3710</v>
      </c>
      <c r="E888" s="5" t="s">
        <v>3711</v>
      </c>
      <c r="F888" s="5" t="s">
        <v>48</v>
      </c>
      <c r="G888" s="5" t="s">
        <v>49</v>
      </c>
      <c r="H888" s="5" t="s">
        <v>23</v>
      </c>
      <c r="I888" s="5" t="str">
        <f>HYPERLINK("http://www.quadraro.it/","www.quadraro.it")</f>
        <v>www.quadraro.it</v>
      </c>
      <c r="J888" s="7">
        <v>914.04399999999998</v>
      </c>
      <c r="K888" s="7">
        <v>914.04399999999998</v>
      </c>
      <c r="L888" s="8">
        <v>704.26</v>
      </c>
      <c r="M888" s="7">
        <v>4.9560000000000004</v>
      </c>
      <c r="N888" s="7">
        <v>4.9560000000000004</v>
      </c>
      <c r="O888" s="7">
        <v>3.4620000000000002</v>
      </c>
      <c r="P888" s="7">
        <v>7</v>
      </c>
      <c r="Q888" s="7">
        <v>7</v>
      </c>
      <c r="R888" s="7">
        <v>7</v>
      </c>
    </row>
    <row r="889" spans="1:18" ht="17" customHeight="1" x14ac:dyDescent="0.2">
      <c r="A889" s="10" t="s">
        <v>3712</v>
      </c>
      <c r="B889" s="11" t="s">
        <v>3713</v>
      </c>
      <c r="C889" s="10" t="s">
        <v>3714</v>
      </c>
      <c r="D889" s="10" t="s">
        <v>3714</v>
      </c>
      <c r="E889" s="10" t="s">
        <v>3715</v>
      </c>
      <c r="F889" s="10" t="s">
        <v>134</v>
      </c>
      <c r="G889" s="10" t="s">
        <v>3716</v>
      </c>
      <c r="H889" s="10" t="s">
        <v>1132</v>
      </c>
      <c r="I889" s="10" t="str">
        <f>HYPERLINK("http://www.falcim.it/","www.falcim.it")</f>
        <v>www.falcim.it</v>
      </c>
      <c r="J889" s="12">
        <v>822.63499999999999</v>
      </c>
      <c r="K889" s="12">
        <v>822.63499999999999</v>
      </c>
      <c r="L889" s="12">
        <v>703.89599999999996</v>
      </c>
      <c r="M889" s="12">
        <v>16.565000000000001</v>
      </c>
      <c r="N889" s="12">
        <v>16.565000000000001</v>
      </c>
      <c r="O889" s="12">
        <v>10.834</v>
      </c>
      <c r="P889" s="13" t="s">
        <v>24</v>
      </c>
      <c r="Q889" s="13" t="s">
        <v>24</v>
      </c>
      <c r="R889" s="12">
        <v>3</v>
      </c>
    </row>
    <row r="890" spans="1:18" ht="17" customHeight="1" x14ac:dyDescent="0.2">
      <c r="A890" s="5" t="s">
        <v>3717</v>
      </c>
      <c r="B890" s="6" t="s">
        <v>3718</v>
      </c>
      <c r="C890" s="5" t="s">
        <v>3719</v>
      </c>
      <c r="D890" s="5" t="s">
        <v>3719</v>
      </c>
      <c r="E890" s="5" t="s">
        <v>3720</v>
      </c>
      <c r="F890" s="5" t="s">
        <v>114</v>
      </c>
      <c r="G890" s="5" t="s">
        <v>943</v>
      </c>
      <c r="H890" s="5" t="s">
        <v>407</v>
      </c>
      <c r="I890" s="5" t="str">
        <f>HYPERLINK("http://belisarioitaly.com/","belisarioitaly.com")</f>
        <v>belisarioitaly.com</v>
      </c>
      <c r="J890" s="7">
        <v>731.39300000000003</v>
      </c>
      <c r="K890" s="7">
        <v>731.39300000000003</v>
      </c>
      <c r="L890" s="8">
        <v>702.16499999999996</v>
      </c>
      <c r="M890" s="7">
        <v>8.2780000000000005</v>
      </c>
      <c r="N890" s="7">
        <v>8.2780000000000005</v>
      </c>
      <c r="O890" s="7">
        <v>33.737000000000002</v>
      </c>
      <c r="P890" s="9" t="s">
        <v>24</v>
      </c>
      <c r="Q890" s="9" t="s">
        <v>24</v>
      </c>
      <c r="R890" s="7">
        <v>21</v>
      </c>
    </row>
    <row r="891" spans="1:18" ht="17" customHeight="1" x14ac:dyDescent="0.2">
      <c r="A891" s="10" t="s">
        <v>3721</v>
      </c>
      <c r="B891" s="11" t="s">
        <v>3722</v>
      </c>
      <c r="C891" s="10" t="s">
        <v>3723</v>
      </c>
      <c r="D891" s="10" t="s">
        <v>3723</v>
      </c>
      <c r="E891" s="10" t="s">
        <v>3724</v>
      </c>
      <c r="F891" s="10" t="s">
        <v>114</v>
      </c>
      <c r="G891" s="10" t="s">
        <v>1013</v>
      </c>
      <c r="H891" s="10" t="s">
        <v>43</v>
      </c>
      <c r="I891" s="10" t="str">
        <f>HYPERLINK("http://jeansmarket.it/","jeansmarket.it")</f>
        <v>jeansmarket.it</v>
      </c>
      <c r="J891" s="12">
        <v>778.976</v>
      </c>
      <c r="K891" s="12">
        <v>778.976</v>
      </c>
      <c r="L891" s="12">
        <v>702.06600000000003</v>
      </c>
      <c r="M891" s="12">
        <v>-6.6859999999999999</v>
      </c>
      <c r="N891" s="12">
        <v>-6.6859999999999999</v>
      </c>
      <c r="O891" s="12">
        <v>-16.66</v>
      </c>
      <c r="P891" s="13" t="s">
        <v>24</v>
      </c>
      <c r="Q891" s="13" t="s">
        <v>24</v>
      </c>
      <c r="R891" s="12">
        <v>3</v>
      </c>
    </row>
    <row r="892" spans="1:18" ht="17" customHeight="1" x14ac:dyDescent="0.2">
      <c r="A892" s="5" t="s">
        <v>3725</v>
      </c>
      <c r="B892" s="6" t="s">
        <v>3726</v>
      </c>
      <c r="C892" s="5" t="s">
        <v>3727</v>
      </c>
      <c r="D892" s="5" t="s">
        <v>3727</v>
      </c>
      <c r="E892" s="5" t="s">
        <v>3728</v>
      </c>
      <c r="F892" s="5" t="s">
        <v>21</v>
      </c>
      <c r="G892" s="5" t="s">
        <v>100</v>
      </c>
      <c r="H892" s="5" t="s">
        <v>62</v>
      </c>
      <c r="I892" s="5" t="str">
        <f>HYPERLINK("http://www.altamodapositano.com/","www.altamodapositano.com")</f>
        <v>www.altamodapositano.com</v>
      </c>
      <c r="J892" s="7">
        <v>839.13900000000001</v>
      </c>
      <c r="K892" s="7">
        <v>839.13900000000001</v>
      </c>
      <c r="L892" s="8">
        <v>700.33600000000001</v>
      </c>
      <c r="M892" s="7">
        <v>18.337</v>
      </c>
      <c r="N892" s="7">
        <v>18.337</v>
      </c>
      <c r="O892" s="7">
        <v>16.777000000000001</v>
      </c>
      <c r="P892" s="9" t="s">
        <v>24</v>
      </c>
      <c r="Q892" s="9" t="s">
        <v>24</v>
      </c>
      <c r="R892" s="7">
        <v>6</v>
      </c>
    </row>
    <row r="893" spans="1:18" ht="17" customHeight="1" x14ac:dyDescent="0.2">
      <c r="A893" s="10" t="s">
        <v>3729</v>
      </c>
      <c r="B893" s="11" t="s">
        <v>3730</v>
      </c>
      <c r="C893" s="10" t="s">
        <v>3731</v>
      </c>
      <c r="D893" s="10" t="s">
        <v>3731</v>
      </c>
      <c r="E893" s="10" t="s">
        <v>3732</v>
      </c>
      <c r="F893" s="10" t="s">
        <v>105</v>
      </c>
      <c r="G893" s="10" t="s">
        <v>100</v>
      </c>
      <c r="H893" s="10" t="s">
        <v>62</v>
      </c>
      <c r="I893" s="10" t="str">
        <f>HYPERLINK("http://albertoluti.it/","albertoluti.it")</f>
        <v>albertoluti.it</v>
      </c>
      <c r="J893" s="12">
        <v>1120.7940000000001</v>
      </c>
      <c r="K893" s="12">
        <v>1120.7940000000001</v>
      </c>
      <c r="L893" s="12">
        <v>699.10599999999999</v>
      </c>
      <c r="M893" s="12">
        <v>18.359000000000002</v>
      </c>
      <c r="N893" s="12">
        <v>18.359000000000002</v>
      </c>
      <c r="O893" s="12">
        <v>11.456</v>
      </c>
      <c r="P893" s="13" t="s">
        <v>24</v>
      </c>
      <c r="Q893" s="13" t="s">
        <v>24</v>
      </c>
      <c r="R893" s="12">
        <v>5</v>
      </c>
    </row>
    <row r="894" spans="1:18" ht="17" customHeight="1" x14ac:dyDescent="0.2">
      <c r="A894" s="5" t="s">
        <v>3733</v>
      </c>
      <c r="B894" s="6" t="s">
        <v>3734</v>
      </c>
      <c r="C894" s="5" t="s">
        <v>3735</v>
      </c>
      <c r="D894" s="5" t="s">
        <v>3735</v>
      </c>
      <c r="E894" s="5" t="s">
        <v>3736</v>
      </c>
      <c r="F894" s="5" t="s">
        <v>376</v>
      </c>
      <c r="G894" s="5" t="s">
        <v>190</v>
      </c>
      <c r="H894" s="5" t="s">
        <v>74</v>
      </c>
      <c r="I894" s="5" t="str">
        <f>HYPERLINK("http://www.calzaturepoca.com/","www.calzaturepoca.com")</f>
        <v>www.calzaturepoca.com</v>
      </c>
      <c r="J894" s="7">
        <v>966.57299999999998</v>
      </c>
      <c r="K894" s="7">
        <v>966.57299999999998</v>
      </c>
      <c r="L894" s="8">
        <v>697.82600000000002</v>
      </c>
      <c r="M894" s="7">
        <v>142.32</v>
      </c>
      <c r="N894" s="7">
        <v>142.32</v>
      </c>
      <c r="O894" s="7">
        <v>35.764000000000003</v>
      </c>
      <c r="P894" s="7">
        <v>10</v>
      </c>
      <c r="Q894" s="7">
        <v>10</v>
      </c>
      <c r="R894" s="7">
        <v>9</v>
      </c>
    </row>
    <row r="895" spans="1:18" ht="17" customHeight="1" x14ac:dyDescent="0.2">
      <c r="A895" s="10" t="s">
        <v>3737</v>
      </c>
      <c r="B895" s="11" t="s">
        <v>3738</v>
      </c>
      <c r="C895" s="10" t="s">
        <v>3739</v>
      </c>
      <c r="D895" s="10" t="s">
        <v>3739</v>
      </c>
      <c r="E895" s="10" t="s">
        <v>3740</v>
      </c>
      <c r="F895" s="10" t="s">
        <v>114</v>
      </c>
      <c r="G895" s="10" t="s">
        <v>718</v>
      </c>
      <c r="H895" s="10" t="s">
        <v>31</v>
      </c>
      <c r="I895" s="10" t="str">
        <f>HYPERLINK("http://www.mouche.it/","www.mouche.it")</f>
        <v>www.mouche.it</v>
      </c>
      <c r="J895" s="12">
        <v>660.10500000000002</v>
      </c>
      <c r="K895" s="12">
        <v>660.10500000000002</v>
      </c>
      <c r="L895" s="12">
        <v>697.61199999999997</v>
      </c>
      <c r="M895" s="12">
        <v>0.151</v>
      </c>
      <c r="N895" s="12">
        <v>0.151</v>
      </c>
      <c r="O895" s="12">
        <v>0.21199999999999999</v>
      </c>
      <c r="P895" s="12">
        <v>6</v>
      </c>
      <c r="Q895" s="12">
        <v>6</v>
      </c>
      <c r="R895" s="12">
        <v>6</v>
      </c>
    </row>
    <row r="896" spans="1:18" ht="17" customHeight="1" x14ac:dyDescent="0.2">
      <c r="A896" s="5" t="s">
        <v>3741</v>
      </c>
      <c r="B896" s="6" t="s">
        <v>3742</v>
      </c>
      <c r="C896" s="5" t="s">
        <v>3743</v>
      </c>
      <c r="D896" s="5" t="s">
        <v>3743</v>
      </c>
      <c r="E896" s="5" t="s">
        <v>3744</v>
      </c>
      <c r="F896" s="5" t="s">
        <v>149</v>
      </c>
      <c r="G896" s="5" t="s">
        <v>22</v>
      </c>
      <c r="H896" s="5" t="s">
        <v>23</v>
      </c>
      <c r="I896" s="5" t="str">
        <f>HYPERLINK("http://www.atelieritalia.com/","www.atelieritalia.com")</f>
        <v>www.atelieritalia.com</v>
      </c>
      <c r="J896" s="7">
        <v>602.79200000000003</v>
      </c>
      <c r="K896" s="7">
        <v>602.79200000000003</v>
      </c>
      <c r="L896" s="8">
        <v>696.91700000000003</v>
      </c>
      <c r="M896" s="7">
        <v>-21.846</v>
      </c>
      <c r="N896" s="7">
        <v>-21.846</v>
      </c>
      <c r="O896" s="7">
        <v>1.5029999999999999</v>
      </c>
      <c r="P896" s="7">
        <v>16</v>
      </c>
      <c r="Q896" s="7">
        <v>16</v>
      </c>
      <c r="R896" s="7">
        <v>17</v>
      </c>
    </row>
    <row r="897" spans="1:18" ht="17" customHeight="1" x14ac:dyDescent="0.2">
      <c r="A897" s="10" t="s">
        <v>3745</v>
      </c>
      <c r="B897" s="11" t="s">
        <v>3746</v>
      </c>
      <c r="C897" s="10" t="s">
        <v>3747</v>
      </c>
      <c r="D897" s="10" t="s">
        <v>3747</v>
      </c>
      <c r="E897" s="10" t="s">
        <v>3748</v>
      </c>
      <c r="F897" s="10" t="s">
        <v>114</v>
      </c>
      <c r="G897" s="10" t="s">
        <v>115</v>
      </c>
      <c r="H897" s="10" t="s">
        <v>43</v>
      </c>
      <c r="I897" s="10" t="str">
        <f>HYPERLINK("http://newenergymoda.it/","newenergymoda.it")</f>
        <v>newenergymoda.it</v>
      </c>
      <c r="J897" s="12">
        <v>586.87</v>
      </c>
      <c r="K897" s="12">
        <v>586.87</v>
      </c>
      <c r="L897" s="12">
        <v>696.91200000000003</v>
      </c>
      <c r="M897" s="12">
        <v>2.0950000000000002</v>
      </c>
      <c r="N897" s="12">
        <v>2.0950000000000002</v>
      </c>
      <c r="O897" s="12">
        <v>0.54</v>
      </c>
      <c r="P897" s="12">
        <v>9</v>
      </c>
      <c r="Q897" s="12">
        <v>9</v>
      </c>
      <c r="R897" s="12">
        <v>6</v>
      </c>
    </row>
    <row r="898" spans="1:18" ht="17" customHeight="1" x14ac:dyDescent="0.2">
      <c r="A898" s="5" t="s">
        <v>3749</v>
      </c>
      <c r="B898" s="6" t="s">
        <v>3750</v>
      </c>
      <c r="C898" s="5" t="s">
        <v>3751</v>
      </c>
      <c r="D898" s="5" t="s">
        <v>3751</v>
      </c>
      <c r="E898" s="5" t="s">
        <v>3752</v>
      </c>
      <c r="F898" s="5" t="s">
        <v>48</v>
      </c>
      <c r="G898" s="5" t="s">
        <v>381</v>
      </c>
      <c r="H898" s="5" t="s">
        <v>23</v>
      </c>
      <c r="I898" s="5" t="str">
        <f>HYPERLINK("http://clairesrl.it/","clairesrl.it")</f>
        <v>clairesrl.it</v>
      </c>
      <c r="J898" s="7">
        <v>510.798</v>
      </c>
      <c r="K898" s="7">
        <v>510.798</v>
      </c>
      <c r="L898" s="8">
        <v>696.59900000000005</v>
      </c>
      <c r="M898" s="7">
        <v>1.5469999999999999</v>
      </c>
      <c r="N898" s="7">
        <v>1.5469999999999999</v>
      </c>
      <c r="O898" s="7">
        <v>58.264000000000003</v>
      </c>
      <c r="P898" s="7">
        <v>5</v>
      </c>
      <c r="Q898" s="7">
        <v>5</v>
      </c>
      <c r="R898" s="7">
        <v>7</v>
      </c>
    </row>
    <row r="899" spans="1:18" ht="17" customHeight="1" x14ac:dyDescent="0.2">
      <c r="A899" s="10" t="s">
        <v>3753</v>
      </c>
      <c r="B899" s="11" t="s">
        <v>3754</v>
      </c>
      <c r="C899" s="10" t="s">
        <v>3755</v>
      </c>
      <c r="D899" s="10" t="s">
        <v>3755</v>
      </c>
      <c r="E899" s="10" t="s">
        <v>3756</v>
      </c>
      <c r="F899" s="10" t="s">
        <v>114</v>
      </c>
      <c r="G899" s="10" t="s">
        <v>140</v>
      </c>
      <c r="H899" s="10" t="s">
        <v>43</v>
      </c>
      <c r="I899" s="10" t="str">
        <f>HYPERLINK("http://www.idea90.com/","http://www.idea90.com/")</f>
        <v>http://www.idea90.com/</v>
      </c>
      <c r="J899" s="12">
        <v>746.846</v>
      </c>
      <c r="K899" s="12">
        <v>746.846</v>
      </c>
      <c r="L899" s="12">
        <v>695.38499999999999</v>
      </c>
      <c r="M899" s="12">
        <v>64.561000000000007</v>
      </c>
      <c r="N899" s="12">
        <v>64.561000000000007</v>
      </c>
      <c r="O899" s="12">
        <v>41.378</v>
      </c>
      <c r="P899" s="12">
        <v>14</v>
      </c>
      <c r="Q899" s="12">
        <v>14</v>
      </c>
      <c r="R899" s="12">
        <v>14</v>
      </c>
    </row>
    <row r="900" spans="1:18" ht="17" customHeight="1" x14ac:dyDescent="0.2">
      <c r="A900" s="5" t="s">
        <v>3757</v>
      </c>
      <c r="B900" s="6" t="s">
        <v>3758</v>
      </c>
      <c r="C900" s="5" t="s">
        <v>3759</v>
      </c>
      <c r="D900" s="5" t="s">
        <v>3759</v>
      </c>
      <c r="E900" s="5" t="s">
        <v>3760</v>
      </c>
      <c r="F900" s="5" t="s">
        <v>114</v>
      </c>
      <c r="G900" s="5" t="s">
        <v>437</v>
      </c>
      <c r="H900" s="5" t="s">
        <v>407</v>
      </c>
      <c r="I900" s="5" t="str">
        <f>HYPERLINK("http://www.avfaccessorimoda.it/","www.avfaccessorimoda.it")</f>
        <v>www.avfaccessorimoda.it</v>
      </c>
      <c r="J900" s="7">
        <v>877.846</v>
      </c>
      <c r="K900" s="7">
        <v>877.846</v>
      </c>
      <c r="L900" s="8">
        <v>695.04700000000003</v>
      </c>
      <c r="M900" s="7">
        <v>179.43100000000001</v>
      </c>
      <c r="N900" s="7">
        <v>179.43100000000001</v>
      </c>
      <c r="O900" s="7">
        <v>37.677999999999997</v>
      </c>
      <c r="P900" s="7">
        <v>3</v>
      </c>
      <c r="Q900" s="7">
        <v>3</v>
      </c>
      <c r="R900" s="7">
        <v>3</v>
      </c>
    </row>
    <row r="901" spans="1:18" ht="17" customHeight="1" x14ac:dyDescent="0.2">
      <c r="A901" s="10" t="s">
        <v>3761</v>
      </c>
      <c r="B901" s="11" t="s">
        <v>3762</v>
      </c>
      <c r="C901" s="10" t="s">
        <v>3763</v>
      </c>
      <c r="D901" s="10" t="s">
        <v>3763</v>
      </c>
      <c r="E901" s="10" t="s">
        <v>3764</v>
      </c>
      <c r="F901" s="10" t="s">
        <v>114</v>
      </c>
      <c r="G901" s="10" t="s">
        <v>100</v>
      </c>
      <c r="H901" s="10" t="s">
        <v>62</v>
      </c>
      <c r="I901" s="10" t="str">
        <f>HYPERLINK("http://www.sorgentemodacollezioni.it/","www.sorgentemodacollezioni.it")</f>
        <v>www.sorgentemodacollezioni.it</v>
      </c>
      <c r="J901" s="12">
        <v>694.85900000000004</v>
      </c>
      <c r="K901" s="13" t="s">
        <v>24</v>
      </c>
      <c r="L901" s="12">
        <v>694.85900000000004</v>
      </c>
      <c r="M901" s="12">
        <v>80.432000000000002</v>
      </c>
      <c r="N901" s="13" t="s">
        <v>24</v>
      </c>
      <c r="O901" s="12">
        <v>80.432000000000002</v>
      </c>
      <c r="P901" s="12">
        <v>0</v>
      </c>
      <c r="Q901" s="13" t="s">
        <v>24</v>
      </c>
      <c r="R901" s="12">
        <v>0</v>
      </c>
    </row>
    <row r="902" spans="1:18" ht="17" customHeight="1" x14ac:dyDescent="0.2">
      <c r="A902" s="5" t="s">
        <v>3765</v>
      </c>
      <c r="B902" s="6" t="s">
        <v>3766</v>
      </c>
      <c r="C902" s="5" t="s">
        <v>3767</v>
      </c>
      <c r="D902" s="5" t="s">
        <v>3767</v>
      </c>
      <c r="E902" s="5" t="s">
        <v>3768</v>
      </c>
      <c r="F902" s="5" t="s">
        <v>41</v>
      </c>
      <c r="G902" s="5" t="s">
        <v>224</v>
      </c>
      <c r="H902" s="5" t="s">
        <v>23</v>
      </c>
      <c r="I902" s="5" t="str">
        <f>HYPERLINK("http://www.spaccatricedelmugnaio.it/","www.spaccatricedelmugnaio.it")</f>
        <v>www.spaccatricedelmugnaio.it</v>
      </c>
      <c r="J902" s="7">
        <v>665.524</v>
      </c>
      <c r="K902" s="7">
        <v>665.524</v>
      </c>
      <c r="L902" s="8">
        <v>694.798</v>
      </c>
      <c r="M902" s="7">
        <v>-38.677999999999997</v>
      </c>
      <c r="N902" s="7">
        <v>-38.677999999999997</v>
      </c>
      <c r="O902" s="7">
        <v>-43.945</v>
      </c>
      <c r="P902" s="7">
        <v>6</v>
      </c>
      <c r="Q902" s="7">
        <v>6</v>
      </c>
      <c r="R902" s="7">
        <v>5</v>
      </c>
    </row>
    <row r="903" spans="1:18" ht="17" customHeight="1" x14ac:dyDescent="0.2">
      <c r="A903" s="10" t="s">
        <v>3769</v>
      </c>
      <c r="B903" s="11" t="s">
        <v>3770</v>
      </c>
      <c r="C903" s="10" t="s">
        <v>3771</v>
      </c>
      <c r="D903" s="10" t="s">
        <v>3771</v>
      </c>
      <c r="E903" s="10" t="s">
        <v>3772</v>
      </c>
      <c r="F903" s="10" t="s">
        <v>860</v>
      </c>
      <c r="G903" s="10" t="s">
        <v>100</v>
      </c>
      <c r="H903" s="10" t="s">
        <v>62</v>
      </c>
      <c r="I903" s="10" t="str">
        <f>HYPERLINK("http://lucarellapellicce.it/","lucarellapellicce.it")</f>
        <v>lucarellapellicce.it</v>
      </c>
      <c r="J903" s="12">
        <v>444.80200000000002</v>
      </c>
      <c r="K903" s="12">
        <v>444.80200000000002</v>
      </c>
      <c r="L903" s="12">
        <v>692.822</v>
      </c>
      <c r="M903" s="12">
        <v>0.438</v>
      </c>
      <c r="N903" s="12">
        <v>0.438</v>
      </c>
      <c r="O903" s="12">
        <v>37.171999999999997</v>
      </c>
      <c r="P903" s="12">
        <v>0</v>
      </c>
      <c r="Q903" s="12">
        <v>0</v>
      </c>
      <c r="R903" s="12">
        <v>2</v>
      </c>
    </row>
    <row r="904" spans="1:18" ht="17" customHeight="1" x14ac:dyDescent="0.2">
      <c r="A904" s="5" t="s">
        <v>3773</v>
      </c>
      <c r="B904" s="6" t="s">
        <v>3774</v>
      </c>
      <c r="C904" s="5" t="s">
        <v>3775</v>
      </c>
      <c r="D904" s="5" t="s">
        <v>3775</v>
      </c>
      <c r="E904" s="5" t="s">
        <v>3776</v>
      </c>
      <c r="F904" s="5" t="s">
        <v>29</v>
      </c>
      <c r="G904" s="5" t="s">
        <v>211</v>
      </c>
      <c r="H904" s="5" t="s">
        <v>74</v>
      </c>
      <c r="I904" s="5" t="str">
        <f>HYPERLINK("http://sartoriasecchi.it/","sartoriasecchi.it")</f>
        <v>sartoriasecchi.it</v>
      </c>
      <c r="J904" s="7">
        <v>931.96699999999998</v>
      </c>
      <c r="K904" s="7">
        <v>931.96699999999998</v>
      </c>
      <c r="L904" s="8">
        <v>692.31899999999996</v>
      </c>
      <c r="M904" s="7">
        <v>13.708</v>
      </c>
      <c r="N904" s="7">
        <v>13.708</v>
      </c>
      <c r="O904" s="7">
        <v>1.29</v>
      </c>
      <c r="P904" s="7">
        <v>6</v>
      </c>
      <c r="Q904" s="7">
        <v>6</v>
      </c>
      <c r="R904" s="7">
        <v>7</v>
      </c>
    </row>
    <row r="905" spans="1:18" ht="17" customHeight="1" x14ac:dyDescent="0.2">
      <c r="A905" s="10" t="s">
        <v>3777</v>
      </c>
      <c r="B905" s="11" t="s">
        <v>3778</v>
      </c>
      <c r="C905" s="10" t="s">
        <v>3779</v>
      </c>
      <c r="D905" s="10" t="s">
        <v>3779</v>
      </c>
      <c r="E905" s="10" t="s">
        <v>3780</v>
      </c>
      <c r="F905" s="10" t="s">
        <v>48</v>
      </c>
      <c r="G905" s="10" t="s">
        <v>190</v>
      </c>
      <c r="H905" s="10" t="s">
        <v>74</v>
      </c>
      <c r="I905" s="10" t="str">
        <f>HYPERLINK("http://www.trizioflightcase.com/","www.trizioflightcase.com")</f>
        <v>www.trizioflightcase.com</v>
      </c>
      <c r="J905" s="12">
        <v>709.91899999999998</v>
      </c>
      <c r="K905" s="12">
        <v>709.91899999999998</v>
      </c>
      <c r="L905" s="12">
        <v>691.41399999999999</v>
      </c>
      <c r="M905" s="12">
        <v>15.718</v>
      </c>
      <c r="N905" s="12">
        <v>15.718</v>
      </c>
      <c r="O905" s="12">
        <v>19.254000000000001</v>
      </c>
      <c r="P905" s="13" t="s">
        <v>24</v>
      </c>
      <c r="Q905" s="13" t="s">
        <v>24</v>
      </c>
      <c r="R905" s="12">
        <v>8</v>
      </c>
    </row>
    <row r="906" spans="1:18" ht="17" customHeight="1" x14ac:dyDescent="0.2">
      <c r="A906" s="5" t="s">
        <v>3781</v>
      </c>
      <c r="B906" s="6" t="s">
        <v>3782</v>
      </c>
      <c r="C906" s="5" t="s">
        <v>3783</v>
      </c>
      <c r="D906" s="5" t="s">
        <v>3783</v>
      </c>
      <c r="E906" s="5" t="s">
        <v>3784</v>
      </c>
      <c r="F906" s="5" t="s">
        <v>105</v>
      </c>
      <c r="G906" s="5" t="s">
        <v>140</v>
      </c>
      <c r="H906" s="5" t="s">
        <v>43</v>
      </c>
      <c r="I906" s="5" t="str">
        <f>HYPERLINK("http://www.airdpstyle.com/","www.airdpstyle.com")</f>
        <v>www.airdpstyle.com</v>
      </c>
      <c r="J906" s="7">
        <v>607.505</v>
      </c>
      <c r="K906" s="7">
        <v>607.505</v>
      </c>
      <c r="L906" s="8">
        <v>691.255</v>
      </c>
      <c r="M906" s="7">
        <v>-143.72200000000001</v>
      </c>
      <c r="N906" s="7">
        <v>-143.72200000000001</v>
      </c>
      <c r="O906" s="7">
        <v>-41.814</v>
      </c>
      <c r="P906" s="7">
        <v>4</v>
      </c>
      <c r="Q906" s="7">
        <v>4</v>
      </c>
      <c r="R906" s="7">
        <v>4</v>
      </c>
    </row>
    <row r="907" spans="1:18" ht="29.5" customHeight="1" x14ac:dyDescent="0.2">
      <c r="A907" s="10" t="s">
        <v>3785</v>
      </c>
      <c r="B907" s="11" t="s">
        <v>3786</v>
      </c>
      <c r="C907" s="10" t="s">
        <v>3787</v>
      </c>
      <c r="D907" s="10" t="s">
        <v>3787</v>
      </c>
      <c r="E907" s="10" t="s">
        <v>3788</v>
      </c>
      <c r="F907" s="10" t="s">
        <v>99</v>
      </c>
      <c r="G907" s="10" t="s">
        <v>663</v>
      </c>
      <c r="H907" s="10" t="s">
        <v>299</v>
      </c>
      <c r="I907" s="10" t="str">
        <f>HYPERLINK("http://www.belts-parma.it/","www.belts-parma.it")</f>
        <v>www.belts-parma.it</v>
      </c>
      <c r="J907" s="12">
        <v>713.49300000000005</v>
      </c>
      <c r="K907" s="12">
        <v>713.49300000000005</v>
      </c>
      <c r="L907" s="12">
        <v>691.24900000000002</v>
      </c>
      <c r="M907" s="12">
        <v>28.007000000000001</v>
      </c>
      <c r="N907" s="12">
        <v>28.007000000000001</v>
      </c>
      <c r="O907" s="12">
        <v>22.544</v>
      </c>
      <c r="P907" s="12">
        <v>5</v>
      </c>
      <c r="Q907" s="12">
        <v>5</v>
      </c>
      <c r="R907" s="12">
        <v>5</v>
      </c>
    </row>
    <row r="908" spans="1:18" ht="17" customHeight="1" x14ac:dyDescent="0.2">
      <c r="A908" s="5" t="s">
        <v>3789</v>
      </c>
      <c r="B908" s="6" t="s">
        <v>3790</v>
      </c>
      <c r="C908" s="5" t="s">
        <v>3791</v>
      </c>
      <c r="D908" s="5" t="s">
        <v>3791</v>
      </c>
      <c r="E908" s="5" t="s">
        <v>3792</v>
      </c>
      <c r="F908" s="5" t="s">
        <v>105</v>
      </c>
      <c r="G908" s="5" t="s">
        <v>2701</v>
      </c>
      <c r="H908" s="5" t="s">
        <v>74</v>
      </c>
      <c r="I908" s="5" t="str">
        <f>HYPERLINK("http://www.serteo.it/","www.serteo.it")</f>
        <v>www.serteo.it</v>
      </c>
      <c r="J908" s="7">
        <v>1070.0540000000001</v>
      </c>
      <c r="K908" s="7">
        <v>1070.0540000000001</v>
      </c>
      <c r="L908" s="8">
        <v>690.40300000000002</v>
      </c>
      <c r="M908" s="7">
        <v>19.716999999999999</v>
      </c>
      <c r="N908" s="7">
        <v>19.716999999999999</v>
      </c>
      <c r="O908" s="7">
        <v>-32.039000000000001</v>
      </c>
      <c r="P908" s="7">
        <v>6</v>
      </c>
      <c r="Q908" s="7">
        <v>6</v>
      </c>
      <c r="R908" s="7">
        <v>4</v>
      </c>
    </row>
    <row r="909" spans="1:18" ht="29.5" customHeight="1" x14ac:dyDescent="0.2">
      <c r="A909" s="10" t="s">
        <v>3793</v>
      </c>
      <c r="B909" s="11" t="s">
        <v>3794</v>
      </c>
      <c r="C909" s="10" t="s">
        <v>3795</v>
      </c>
      <c r="D909" s="10" t="s">
        <v>3795</v>
      </c>
      <c r="E909" s="10" t="s">
        <v>3796</v>
      </c>
      <c r="F909" s="10" t="s">
        <v>376</v>
      </c>
      <c r="G909" s="10" t="s">
        <v>94</v>
      </c>
      <c r="H909" s="10" t="s">
        <v>62</v>
      </c>
      <c r="I909" s="10" t="str">
        <f>HYPERLINK("http://www.morisshoes.it/","www.morisshoes.it")</f>
        <v>www.morisshoes.it</v>
      </c>
      <c r="J909" s="12">
        <v>774.26800000000003</v>
      </c>
      <c r="K909" s="12">
        <v>774.26800000000003</v>
      </c>
      <c r="L909" s="12">
        <v>690.10299999999995</v>
      </c>
      <c r="M909" s="12">
        <v>2.72</v>
      </c>
      <c r="N909" s="12">
        <v>2.72</v>
      </c>
      <c r="O909" s="12">
        <v>-23.068999999999999</v>
      </c>
      <c r="P909" s="12">
        <v>13</v>
      </c>
      <c r="Q909" s="12">
        <v>13</v>
      </c>
      <c r="R909" s="12">
        <v>10</v>
      </c>
    </row>
    <row r="910" spans="1:18" ht="17" customHeight="1" x14ac:dyDescent="0.2">
      <c r="A910" s="5" t="s">
        <v>3797</v>
      </c>
      <c r="B910" s="6" t="s">
        <v>3798</v>
      </c>
      <c r="C910" s="5" t="s">
        <v>3799</v>
      </c>
      <c r="D910" s="5" t="s">
        <v>3799</v>
      </c>
      <c r="E910" s="5" t="s">
        <v>3800</v>
      </c>
      <c r="F910" s="5" t="s">
        <v>482</v>
      </c>
      <c r="G910" s="5" t="s">
        <v>190</v>
      </c>
      <c r="H910" s="5" t="s">
        <v>74</v>
      </c>
      <c r="I910" s="5" t="str">
        <f>HYPERLINK("http://www.elvicart.it/","www.elvicart.it")</f>
        <v>www.elvicart.it</v>
      </c>
      <c r="J910" s="7">
        <v>616.89599999999996</v>
      </c>
      <c r="K910" s="7">
        <v>616.89599999999996</v>
      </c>
      <c r="L910" s="8">
        <v>689.15599999999995</v>
      </c>
      <c r="M910" s="7">
        <v>26.620999999999999</v>
      </c>
      <c r="N910" s="7">
        <v>26.620999999999999</v>
      </c>
      <c r="O910" s="7">
        <v>33.201999999999998</v>
      </c>
      <c r="P910" s="7">
        <v>1</v>
      </c>
      <c r="Q910" s="7">
        <v>1</v>
      </c>
      <c r="R910" s="7">
        <v>1</v>
      </c>
    </row>
    <row r="911" spans="1:18" ht="17" customHeight="1" x14ac:dyDescent="0.2">
      <c r="A911" s="10" t="s">
        <v>3801</v>
      </c>
      <c r="B911" s="11" t="s">
        <v>3802</v>
      </c>
      <c r="C911" s="10" t="s">
        <v>3803</v>
      </c>
      <c r="D911" s="10" t="s">
        <v>3803</v>
      </c>
      <c r="E911" s="10" t="s">
        <v>3804</v>
      </c>
      <c r="F911" s="10" t="s">
        <v>105</v>
      </c>
      <c r="G911" s="10" t="s">
        <v>115</v>
      </c>
      <c r="H911" s="10" t="s">
        <v>43</v>
      </c>
      <c r="I911" s="10" t="str">
        <f>HYPERLINK("http://cinturificiogg.it/","cinturificiogg.it")</f>
        <v>cinturificiogg.it</v>
      </c>
      <c r="J911" s="12">
        <v>720.94600000000003</v>
      </c>
      <c r="K911" s="12">
        <v>720.94600000000003</v>
      </c>
      <c r="L911" s="12">
        <v>687.37</v>
      </c>
      <c r="M911" s="12">
        <v>77.209999999999994</v>
      </c>
      <c r="N911" s="12">
        <v>77.209999999999994</v>
      </c>
      <c r="O911" s="12">
        <v>60.307000000000002</v>
      </c>
      <c r="P911" s="13" t="s">
        <v>24</v>
      </c>
      <c r="Q911" s="13" t="s">
        <v>24</v>
      </c>
      <c r="R911" s="12">
        <v>7</v>
      </c>
    </row>
    <row r="912" spans="1:18" ht="29.5" customHeight="1" x14ac:dyDescent="0.2">
      <c r="A912" s="5" t="s">
        <v>3805</v>
      </c>
      <c r="B912" s="6" t="s">
        <v>3806</v>
      </c>
      <c r="C912" s="5" t="s">
        <v>3807</v>
      </c>
      <c r="D912" s="5" t="s">
        <v>3807</v>
      </c>
      <c r="E912" s="5" t="s">
        <v>3808</v>
      </c>
      <c r="F912" s="5" t="s">
        <v>105</v>
      </c>
      <c r="G912" s="5" t="s">
        <v>49</v>
      </c>
      <c r="H912" s="5" t="s">
        <v>23</v>
      </c>
      <c r="I912" s="5" t="str">
        <f>HYPERLINK("http://www.ilovemydog.it/","www.ilovemydog.it")</f>
        <v>www.ilovemydog.it</v>
      </c>
      <c r="J912" s="7">
        <v>606.36699999999996</v>
      </c>
      <c r="K912" s="7">
        <v>606.36699999999996</v>
      </c>
      <c r="L912" s="8">
        <v>687.35299999999995</v>
      </c>
      <c r="M912" s="7">
        <v>6.9950000000000001</v>
      </c>
      <c r="N912" s="7">
        <v>6.9950000000000001</v>
      </c>
      <c r="O912" s="7">
        <v>4.75</v>
      </c>
      <c r="P912" s="7">
        <v>1</v>
      </c>
      <c r="Q912" s="7">
        <v>1</v>
      </c>
      <c r="R912" s="7">
        <v>1</v>
      </c>
    </row>
    <row r="913" spans="1:18" ht="17" customHeight="1" x14ac:dyDescent="0.2">
      <c r="A913" s="10" t="s">
        <v>3809</v>
      </c>
      <c r="B913" s="11" t="s">
        <v>3810</v>
      </c>
      <c r="C913" s="10" t="s">
        <v>3811</v>
      </c>
      <c r="D913" s="10" t="s">
        <v>3811</v>
      </c>
      <c r="E913" s="10" t="s">
        <v>3812</v>
      </c>
      <c r="F913" s="10" t="s">
        <v>181</v>
      </c>
      <c r="G913" s="10" t="s">
        <v>2957</v>
      </c>
      <c r="H913" s="10" t="s">
        <v>121</v>
      </c>
      <c r="I913" s="10" t="str">
        <f>HYPERLINK("http://www.maxmil.it/","www.maxmil.it")</f>
        <v>www.maxmil.it</v>
      </c>
      <c r="J913" s="12">
        <v>764.803</v>
      </c>
      <c r="K913" s="12">
        <v>764.803</v>
      </c>
      <c r="L913" s="12">
        <v>687.31299999999999</v>
      </c>
      <c r="M913" s="12">
        <v>79.497</v>
      </c>
      <c r="N913" s="12">
        <v>79.497</v>
      </c>
      <c r="O913" s="12">
        <v>29.911000000000001</v>
      </c>
      <c r="P913" s="12">
        <v>15</v>
      </c>
      <c r="Q913" s="12">
        <v>15</v>
      </c>
      <c r="R913" s="12">
        <v>14</v>
      </c>
    </row>
    <row r="914" spans="1:18" ht="17" customHeight="1" x14ac:dyDescent="0.2">
      <c r="A914" s="5" t="s">
        <v>3813</v>
      </c>
      <c r="B914" s="6" t="s">
        <v>3814</v>
      </c>
      <c r="C914" s="5" t="s">
        <v>3815</v>
      </c>
      <c r="D914" s="5" t="s">
        <v>3815</v>
      </c>
      <c r="E914" s="5" t="s">
        <v>3816</v>
      </c>
      <c r="F914" s="5" t="s">
        <v>134</v>
      </c>
      <c r="G914" s="5" t="s">
        <v>94</v>
      </c>
      <c r="H914" s="5" t="s">
        <v>62</v>
      </c>
      <c r="I914" s="5" t="str">
        <f>HYPERLINK("http://claudiomariani.it/","claudiomariani.it")</f>
        <v>claudiomariani.it</v>
      </c>
      <c r="J914" s="7">
        <v>919.92499999999995</v>
      </c>
      <c r="K914" s="7">
        <v>919.92499999999995</v>
      </c>
      <c r="L914" s="8">
        <v>685.197</v>
      </c>
      <c r="M914" s="7">
        <v>38.347999999999999</v>
      </c>
      <c r="N914" s="7">
        <v>38.347999999999999</v>
      </c>
      <c r="O914" s="7">
        <v>53.2</v>
      </c>
      <c r="P914" s="7">
        <v>6</v>
      </c>
      <c r="Q914" s="7">
        <v>6</v>
      </c>
      <c r="R914" s="7">
        <v>5</v>
      </c>
    </row>
    <row r="915" spans="1:18" ht="29.5" customHeight="1" x14ac:dyDescent="0.2">
      <c r="A915" s="10" t="s">
        <v>3817</v>
      </c>
      <c r="B915" s="11" t="s">
        <v>3818</v>
      </c>
      <c r="C915" s="10" t="s">
        <v>3819</v>
      </c>
      <c r="D915" s="10" t="s">
        <v>3819</v>
      </c>
      <c r="E915" s="10" t="s">
        <v>3820</v>
      </c>
      <c r="F915" s="10" t="s">
        <v>54</v>
      </c>
      <c r="G915" s="10" t="s">
        <v>84</v>
      </c>
      <c r="H915" s="10" t="s">
        <v>74</v>
      </c>
      <c r="I915" s="10" t="str">
        <f>HYPERLINK("http://www.suolificiopalazzo.it/","www.suolificiopalazzo.it")</f>
        <v>www.suolificiopalazzo.it</v>
      </c>
      <c r="J915" s="12">
        <v>684.16700000000003</v>
      </c>
      <c r="K915" s="13" t="s">
        <v>24</v>
      </c>
      <c r="L915" s="12">
        <v>684.16700000000003</v>
      </c>
      <c r="M915" s="12">
        <v>30.757999999999999</v>
      </c>
      <c r="N915" s="13" t="s">
        <v>24</v>
      </c>
      <c r="O915" s="12">
        <v>30.757999999999999</v>
      </c>
      <c r="P915" s="12">
        <v>5</v>
      </c>
      <c r="Q915" s="13" t="s">
        <v>24</v>
      </c>
      <c r="R915" s="12">
        <v>5</v>
      </c>
    </row>
    <row r="916" spans="1:18" ht="17" customHeight="1" x14ac:dyDescent="0.2">
      <c r="A916" s="5" t="s">
        <v>3821</v>
      </c>
      <c r="B916" s="6" t="s">
        <v>3822</v>
      </c>
      <c r="C916" s="5" t="s">
        <v>3823</v>
      </c>
      <c r="D916" s="5" t="s">
        <v>3823</v>
      </c>
      <c r="E916" s="5" t="s">
        <v>3824</v>
      </c>
      <c r="F916" s="5" t="s">
        <v>105</v>
      </c>
      <c r="G916" s="5" t="s">
        <v>234</v>
      </c>
      <c r="H916" s="5" t="s">
        <v>23</v>
      </c>
      <c r="I916" s="5" t="str">
        <f>HYPERLINK("http://www.sunstar.ch/","www.sunstar.ch")</f>
        <v>www.sunstar.ch</v>
      </c>
      <c r="J916" s="7">
        <v>978.55</v>
      </c>
      <c r="K916" s="7">
        <v>978.55</v>
      </c>
      <c r="L916" s="8">
        <v>684.06</v>
      </c>
      <c r="M916" s="7">
        <v>29.666</v>
      </c>
      <c r="N916" s="7">
        <v>29.666</v>
      </c>
      <c r="O916" s="7">
        <v>31.831</v>
      </c>
      <c r="P916" s="7">
        <v>1</v>
      </c>
      <c r="Q916" s="7">
        <v>1</v>
      </c>
      <c r="R916" s="9" t="s">
        <v>24</v>
      </c>
    </row>
    <row r="917" spans="1:18" ht="17" customHeight="1" x14ac:dyDescent="0.2">
      <c r="A917" s="10" t="s">
        <v>3825</v>
      </c>
      <c r="B917" s="11" t="s">
        <v>3826</v>
      </c>
      <c r="C917" s="10" t="s">
        <v>3827</v>
      </c>
      <c r="D917" s="10" t="s">
        <v>3827</v>
      </c>
      <c r="E917" s="10" t="s">
        <v>3828</v>
      </c>
      <c r="F917" s="10" t="s">
        <v>181</v>
      </c>
      <c r="G917" s="10" t="s">
        <v>190</v>
      </c>
      <c r="H917" s="10" t="s">
        <v>74</v>
      </c>
      <c r="I917" s="10" t="str">
        <f>HYPERLINK("http://www.alcostricot.com/","www.alcostricot.com")</f>
        <v>www.alcostricot.com</v>
      </c>
      <c r="J917" s="12">
        <v>607.25900000000001</v>
      </c>
      <c r="K917" s="12">
        <v>607.25900000000001</v>
      </c>
      <c r="L917" s="12">
        <v>683.64</v>
      </c>
      <c r="M917" s="12">
        <v>32.119</v>
      </c>
      <c r="N917" s="12">
        <v>32.119</v>
      </c>
      <c r="O917" s="12">
        <v>11.661</v>
      </c>
      <c r="P917" s="12">
        <v>11</v>
      </c>
      <c r="Q917" s="12">
        <v>11</v>
      </c>
      <c r="R917" s="12">
        <v>7</v>
      </c>
    </row>
    <row r="918" spans="1:18" ht="43" customHeight="1" x14ac:dyDescent="0.2">
      <c r="A918" s="5" t="s">
        <v>3829</v>
      </c>
      <c r="B918" s="6" t="s">
        <v>3830</v>
      </c>
      <c r="C918" s="5" t="s">
        <v>3831</v>
      </c>
      <c r="D918" s="5" t="s">
        <v>3831</v>
      </c>
      <c r="E918" s="5" t="s">
        <v>3832</v>
      </c>
      <c r="F918" s="5" t="s">
        <v>105</v>
      </c>
      <c r="G918" s="5" t="s">
        <v>73</v>
      </c>
      <c r="H918" s="5" t="s">
        <v>74</v>
      </c>
      <c r="I918" s="5" t="str">
        <f>HYPERLINK("http://www.florioli.it/","www.florioli.it")</f>
        <v>www.florioli.it</v>
      </c>
      <c r="J918" s="7">
        <v>343.17700000000002</v>
      </c>
      <c r="K918" s="7">
        <v>343.17700000000002</v>
      </c>
      <c r="L918" s="8">
        <v>683.096</v>
      </c>
      <c r="M918" s="7">
        <v>15.590999999999999</v>
      </c>
      <c r="N918" s="7">
        <v>15.590999999999999</v>
      </c>
      <c r="O918" s="7">
        <v>43.134999999999998</v>
      </c>
      <c r="P918" s="7">
        <v>0</v>
      </c>
      <c r="Q918" s="7">
        <v>0</v>
      </c>
      <c r="R918" s="7">
        <v>0</v>
      </c>
    </row>
    <row r="919" spans="1:18" ht="17" customHeight="1" x14ac:dyDescent="0.2">
      <c r="A919" s="10" t="s">
        <v>3833</v>
      </c>
      <c r="B919" s="11" t="s">
        <v>3834</v>
      </c>
      <c r="C919" s="10" t="s">
        <v>3835</v>
      </c>
      <c r="D919" s="10" t="s">
        <v>3835</v>
      </c>
      <c r="E919" s="10" t="s">
        <v>3836</v>
      </c>
      <c r="F919" s="10" t="s">
        <v>21</v>
      </c>
      <c r="G919" s="10" t="s">
        <v>79</v>
      </c>
      <c r="H919" s="10" t="s">
        <v>56</v>
      </c>
      <c r="I919" s="10" t="str">
        <f>HYPERLINK("http://www.fontanashoes.it/","www.fontanashoes.it")</f>
        <v>www.fontanashoes.it</v>
      </c>
      <c r="J919" s="12">
        <v>872.88199999999995</v>
      </c>
      <c r="K919" s="12">
        <v>872.88199999999995</v>
      </c>
      <c r="L919" s="12">
        <v>680.66200000000003</v>
      </c>
      <c r="M919" s="12">
        <v>8.1720000000000006</v>
      </c>
      <c r="N919" s="12">
        <v>8.1720000000000006</v>
      </c>
      <c r="O919" s="12">
        <v>7.8220000000000001</v>
      </c>
      <c r="P919" s="12">
        <v>4</v>
      </c>
      <c r="Q919" s="12">
        <v>4</v>
      </c>
      <c r="R919" s="12">
        <v>2</v>
      </c>
    </row>
    <row r="920" spans="1:18" ht="17" customHeight="1" x14ac:dyDescent="0.2">
      <c r="A920" s="5" t="s">
        <v>3837</v>
      </c>
      <c r="B920" s="6" t="s">
        <v>3838</v>
      </c>
      <c r="C920" s="5" t="s">
        <v>3839</v>
      </c>
      <c r="D920" s="5" t="s">
        <v>3839</v>
      </c>
      <c r="E920" s="5" t="s">
        <v>3840</v>
      </c>
      <c r="F920" s="5" t="s">
        <v>41</v>
      </c>
      <c r="G920" s="5" t="s">
        <v>943</v>
      </c>
      <c r="H920" s="5" t="s">
        <v>407</v>
      </c>
      <c r="I920" s="5" t="str">
        <f>HYPERLINK("http://equitime.it/","equitime.it")</f>
        <v>equitime.it</v>
      </c>
      <c r="J920" s="7">
        <v>721.64599999999996</v>
      </c>
      <c r="K920" s="7">
        <v>721.64599999999996</v>
      </c>
      <c r="L920" s="8">
        <v>680.63699999999994</v>
      </c>
      <c r="M920" s="7">
        <v>16.878</v>
      </c>
      <c r="N920" s="7">
        <v>16.878</v>
      </c>
      <c r="O920" s="7">
        <v>-2.5129999999999999</v>
      </c>
      <c r="P920" s="7">
        <v>4</v>
      </c>
      <c r="Q920" s="7">
        <v>4</v>
      </c>
      <c r="R920" s="7">
        <v>5</v>
      </c>
    </row>
    <row r="921" spans="1:18" ht="17" customHeight="1" x14ac:dyDescent="0.2">
      <c r="A921" s="10" t="s">
        <v>3841</v>
      </c>
      <c r="B921" s="11" t="s">
        <v>3842</v>
      </c>
      <c r="C921" s="10" t="s">
        <v>3843</v>
      </c>
      <c r="D921" s="10" t="s">
        <v>3843</v>
      </c>
      <c r="E921" s="10" t="s">
        <v>3844</v>
      </c>
      <c r="F921" s="10" t="s">
        <v>48</v>
      </c>
      <c r="G921" s="10" t="s">
        <v>42</v>
      </c>
      <c r="H921" s="10" t="s">
        <v>43</v>
      </c>
      <c r="I921" s="10" t="str">
        <f>HYPERLINK("http://www.angivenezia.it/","www.angivenezia.it")</f>
        <v>www.angivenezia.it</v>
      </c>
      <c r="J921" s="12">
        <v>778.62099999999998</v>
      </c>
      <c r="K921" s="12">
        <v>778.62099999999998</v>
      </c>
      <c r="L921" s="12">
        <v>680.5</v>
      </c>
      <c r="M921" s="12">
        <v>11.316000000000001</v>
      </c>
      <c r="N921" s="12">
        <v>11.316000000000001</v>
      </c>
      <c r="O921" s="12">
        <v>66.241</v>
      </c>
      <c r="P921" s="12">
        <v>1</v>
      </c>
      <c r="Q921" s="12">
        <v>1</v>
      </c>
      <c r="R921" s="12">
        <v>1</v>
      </c>
    </row>
    <row r="922" spans="1:18" ht="17" customHeight="1" x14ac:dyDescent="0.2">
      <c r="A922" s="5" t="s">
        <v>3845</v>
      </c>
      <c r="B922" s="6" t="s">
        <v>3846</v>
      </c>
      <c r="C922" s="5" t="s">
        <v>3847</v>
      </c>
      <c r="D922" s="5" t="s">
        <v>3847</v>
      </c>
      <c r="E922" s="5" t="s">
        <v>3848</v>
      </c>
      <c r="F922" s="5" t="s">
        <v>114</v>
      </c>
      <c r="G922" s="5" t="s">
        <v>73</v>
      </c>
      <c r="H922" s="5" t="s">
        <v>74</v>
      </c>
      <c r="I922" s="5" t="str">
        <f>HYPERLINK("http://www.ghedesi.it/","www.ghedesi.it")</f>
        <v>www.ghedesi.it</v>
      </c>
      <c r="J922" s="7">
        <v>726.46100000000001</v>
      </c>
      <c r="K922" s="7">
        <v>726.46100000000001</v>
      </c>
      <c r="L922" s="8">
        <v>679.82299999999998</v>
      </c>
      <c r="M922" s="7">
        <v>-22.614999999999998</v>
      </c>
      <c r="N922" s="7">
        <v>-22.614999999999998</v>
      </c>
      <c r="O922" s="7">
        <v>-27.032</v>
      </c>
      <c r="P922" s="7">
        <v>3</v>
      </c>
      <c r="Q922" s="7">
        <v>3</v>
      </c>
      <c r="R922" s="7">
        <v>3</v>
      </c>
    </row>
    <row r="923" spans="1:18" ht="17" customHeight="1" x14ac:dyDescent="0.2">
      <c r="A923" s="10" t="s">
        <v>3849</v>
      </c>
      <c r="B923" s="11" t="s">
        <v>3850</v>
      </c>
      <c r="C923" s="10" t="s">
        <v>3851</v>
      </c>
      <c r="D923" s="10" t="s">
        <v>3851</v>
      </c>
      <c r="E923" s="10" t="s">
        <v>3852</v>
      </c>
      <c r="F923" s="10" t="s">
        <v>41</v>
      </c>
      <c r="G923" s="10" t="s">
        <v>42</v>
      </c>
      <c r="H923" s="10" t="s">
        <v>43</v>
      </c>
      <c r="I923" s="10" t="str">
        <f>HYPERLINK("http://www.stamperiamast.it/","www.stamperiamast.it")</f>
        <v>www.stamperiamast.it</v>
      </c>
      <c r="J923" s="12">
        <v>587.41499999999996</v>
      </c>
      <c r="K923" s="12">
        <v>587.41499999999996</v>
      </c>
      <c r="L923" s="12">
        <v>679.75800000000004</v>
      </c>
      <c r="M923" s="12">
        <v>-27.411000000000001</v>
      </c>
      <c r="N923" s="12">
        <v>-27.411000000000001</v>
      </c>
      <c r="O923" s="12">
        <v>-45.48</v>
      </c>
      <c r="P923" s="12">
        <v>10</v>
      </c>
      <c r="Q923" s="12">
        <v>10</v>
      </c>
      <c r="R923" s="12">
        <v>10</v>
      </c>
    </row>
    <row r="924" spans="1:18" ht="17" customHeight="1" x14ac:dyDescent="0.2">
      <c r="A924" s="5" t="s">
        <v>3853</v>
      </c>
      <c r="B924" s="6" t="s">
        <v>3854</v>
      </c>
      <c r="C924" s="5" t="s">
        <v>3855</v>
      </c>
      <c r="D924" s="5" t="s">
        <v>3855</v>
      </c>
      <c r="E924" s="5" t="s">
        <v>3856</v>
      </c>
      <c r="F924" s="5" t="s">
        <v>181</v>
      </c>
      <c r="G924" s="5" t="s">
        <v>89</v>
      </c>
      <c r="H924" s="5" t="s">
        <v>56</v>
      </c>
      <c r="I924" s="5" t="str">
        <f>HYPERLINK("http://www.maglificiogivu.it/","www.maglificiogivu.it")</f>
        <v>www.maglificiogivu.it</v>
      </c>
      <c r="J924" s="7">
        <v>893.97900000000004</v>
      </c>
      <c r="K924" s="7">
        <v>893.97900000000004</v>
      </c>
      <c r="L924" s="8">
        <v>679.255</v>
      </c>
      <c r="M924" s="7">
        <v>177.261</v>
      </c>
      <c r="N924" s="7">
        <v>177.261</v>
      </c>
      <c r="O924" s="7">
        <v>98.575000000000003</v>
      </c>
      <c r="P924" s="7">
        <v>11</v>
      </c>
      <c r="Q924" s="7">
        <v>11</v>
      </c>
      <c r="R924" s="7">
        <v>10</v>
      </c>
    </row>
    <row r="925" spans="1:18" ht="17" customHeight="1" x14ac:dyDescent="0.2">
      <c r="A925" s="10" t="s">
        <v>3857</v>
      </c>
      <c r="B925" s="11" t="s">
        <v>3858</v>
      </c>
      <c r="C925" s="10" t="s">
        <v>3859</v>
      </c>
      <c r="D925" s="10" t="s">
        <v>3860</v>
      </c>
      <c r="E925" s="10" t="s">
        <v>3861</v>
      </c>
      <c r="F925" s="10" t="s">
        <v>114</v>
      </c>
      <c r="G925" s="10" t="s">
        <v>73</v>
      </c>
      <c r="H925" s="10" t="s">
        <v>74</v>
      </c>
      <c r="I925" s="10" t="str">
        <f>HYPERLINK("http://www.forza9.it/","http://www.forza9.it")</f>
        <v>http://www.forza9.it</v>
      </c>
      <c r="J925" s="12">
        <v>1389.0809999999999</v>
      </c>
      <c r="K925" s="12">
        <v>1389.0809999999999</v>
      </c>
      <c r="L925" s="12">
        <v>678.65800000000002</v>
      </c>
      <c r="M925" s="12">
        <v>5.5570000000000004</v>
      </c>
      <c r="N925" s="12">
        <v>5.5570000000000004</v>
      </c>
      <c r="O925" s="12">
        <v>10.867000000000001</v>
      </c>
      <c r="P925" s="12">
        <v>6</v>
      </c>
      <c r="Q925" s="12">
        <v>6</v>
      </c>
      <c r="R925" s="12">
        <v>11</v>
      </c>
    </row>
    <row r="926" spans="1:18" ht="17" customHeight="1" x14ac:dyDescent="0.2">
      <c r="A926" s="5" t="s">
        <v>3862</v>
      </c>
      <c r="B926" s="6" t="s">
        <v>3863</v>
      </c>
      <c r="C926" s="5" t="s">
        <v>3864</v>
      </c>
      <c r="D926" s="5" t="s">
        <v>3864</v>
      </c>
      <c r="E926" s="5" t="s">
        <v>3865</v>
      </c>
      <c r="F926" s="5" t="s">
        <v>149</v>
      </c>
      <c r="G926" s="5" t="s">
        <v>140</v>
      </c>
      <c r="H926" s="5" t="s">
        <v>43</v>
      </c>
      <c r="I926" s="5" t="str">
        <f>HYPERLINK("http://www.demarchi.com/","www.demarchi.com")</f>
        <v>www.demarchi.com</v>
      </c>
      <c r="J926" s="7">
        <v>481.084</v>
      </c>
      <c r="K926" s="7">
        <v>481.084</v>
      </c>
      <c r="L926" s="8">
        <v>677.85900000000004</v>
      </c>
      <c r="M926" s="7">
        <v>-411.68099999999998</v>
      </c>
      <c r="N926" s="7">
        <v>-411.68099999999998</v>
      </c>
      <c r="O926" s="7">
        <v>-463.82799999999997</v>
      </c>
      <c r="P926" s="7">
        <v>4</v>
      </c>
      <c r="Q926" s="7">
        <v>4</v>
      </c>
      <c r="R926" s="7">
        <v>3</v>
      </c>
    </row>
    <row r="927" spans="1:18" ht="17" customHeight="1" x14ac:dyDescent="0.2">
      <c r="A927" s="10" t="s">
        <v>3866</v>
      </c>
      <c r="B927" s="11" t="s">
        <v>3867</v>
      </c>
      <c r="C927" s="10" t="s">
        <v>3868</v>
      </c>
      <c r="D927" s="10" t="s">
        <v>3868</v>
      </c>
      <c r="E927" s="10" t="s">
        <v>3869</v>
      </c>
      <c r="F927" s="10" t="s">
        <v>181</v>
      </c>
      <c r="G927" s="10" t="s">
        <v>89</v>
      </c>
      <c r="H927" s="10" t="s">
        <v>56</v>
      </c>
      <c r="I927" s="10" t="str">
        <f>HYPERLINK("http://www.manifatturegiulia.it/","www.manifatturegiulia.it")</f>
        <v>www.manifatturegiulia.it</v>
      </c>
      <c r="J927" s="12">
        <v>672.26099999999997</v>
      </c>
      <c r="K927" s="12">
        <v>672.26099999999997</v>
      </c>
      <c r="L927" s="12">
        <v>677.61099999999999</v>
      </c>
      <c r="M927" s="12">
        <v>20.754000000000001</v>
      </c>
      <c r="N927" s="12">
        <v>20.754000000000001</v>
      </c>
      <c r="O927" s="12">
        <v>2.032</v>
      </c>
      <c r="P927" s="12">
        <v>1</v>
      </c>
      <c r="Q927" s="12">
        <v>1</v>
      </c>
      <c r="R927" s="12">
        <v>1</v>
      </c>
    </row>
    <row r="928" spans="1:18" ht="43" customHeight="1" x14ac:dyDescent="0.2">
      <c r="A928" s="5" t="s">
        <v>3870</v>
      </c>
      <c r="B928" s="6" t="s">
        <v>3871</v>
      </c>
      <c r="C928" s="5" t="s">
        <v>3872</v>
      </c>
      <c r="D928" s="5" t="s">
        <v>3872</v>
      </c>
      <c r="E928" s="5" t="s">
        <v>3873</v>
      </c>
      <c r="F928" s="5" t="s">
        <v>181</v>
      </c>
      <c r="G928" s="5" t="s">
        <v>253</v>
      </c>
      <c r="H928" s="5" t="s">
        <v>56</v>
      </c>
      <c r="I928" s="5" t="str">
        <f>HYPERLINK("http://gaiasegattiniknotwear.it/","gaiasegattiniknotwear.it")</f>
        <v>gaiasegattiniknotwear.it</v>
      </c>
      <c r="J928" s="7">
        <v>562.17600000000004</v>
      </c>
      <c r="K928" s="7">
        <v>562.17600000000004</v>
      </c>
      <c r="L928" s="8">
        <v>677.54600000000005</v>
      </c>
      <c r="M928" s="7">
        <v>21.748999999999999</v>
      </c>
      <c r="N928" s="7">
        <v>21.748999999999999</v>
      </c>
      <c r="O928" s="7">
        <v>48.234000000000002</v>
      </c>
      <c r="P928" s="7">
        <v>2</v>
      </c>
      <c r="Q928" s="7">
        <v>2</v>
      </c>
      <c r="R928" s="7">
        <v>0</v>
      </c>
    </row>
    <row r="929" spans="1:18" ht="17" customHeight="1" x14ac:dyDescent="0.2">
      <c r="A929" s="10" t="s">
        <v>3874</v>
      </c>
      <c r="B929" s="11" t="s">
        <v>3875</v>
      </c>
      <c r="C929" s="10" t="s">
        <v>3876</v>
      </c>
      <c r="D929" s="10" t="s">
        <v>3876</v>
      </c>
      <c r="E929" s="10" t="s">
        <v>3877</v>
      </c>
      <c r="F929" s="10" t="s">
        <v>181</v>
      </c>
      <c r="G929" s="10" t="s">
        <v>49</v>
      </c>
      <c r="H929" s="10" t="s">
        <v>23</v>
      </c>
      <c r="I929" s="10" t="str">
        <f>HYPERLINK("http://princeofflorence.it/","princeofflorence.it")</f>
        <v>princeofflorence.it</v>
      </c>
      <c r="J929" s="12">
        <v>583.351</v>
      </c>
      <c r="K929" s="12">
        <v>583.351</v>
      </c>
      <c r="L929" s="12">
        <v>677.197</v>
      </c>
      <c r="M929" s="12">
        <v>-370.94099999999997</v>
      </c>
      <c r="N929" s="12">
        <v>-370.94099999999997</v>
      </c>
      <c r="O929" s="12">
        <v>-0.86199999999999999</v>
      </c>
      <c r="P929" s="12">
        <v>2</v>
      </c>
      <c r="Q929" s="12">
        <v>2</v>
      </c>
      <c r="R929" s="12">
        <v>2</v>
      </c>
    </row>
    <row r="930" spans="1:18" ht="17" customHeight="1" x14ac:dyDescent="0.2">
      <c r="A930" s="5" t="s">
        <v>3878</v>
      </c>
      <c r="B930" s="6" t="s">
        <v>3879</v>
      </c>
      <c r="C930" s="5" t="s">
        <v>3880</v>
      </c>
      <c r="D930" s="5" t="s">
        <v>3880</v>
      </c>
      <c r="E930" s="5" t="s">
        <v>3881</v>
      </c>
      <c r="F930" s="5" t="s">
        <v>114</v>
      </c>
      <c r="G930" s="5" t="s">
        <v>42</v>
      </c>
      <c r="H930" s="5" t="s">
        <v>43</v>
      </c>
      <c r="I930" s="5" t="str">
        <f>HYPERLINK("http://www.nikiconfezioni.it/","www.nikiconfezioni.it")</f>
        <v>www.nikiconfezioni.it</v>
      </c>
      <c r="J930" s="7">
        <v>571.91999999999996</v>
      </c>
      <c r="K930" s="7">
        <v>571.91999999999996</v>
      </c>
      <c r="L930" s="8">
        <v>676.88099999999997</v>
      </c>
      <c r="M930" s="7">
        <v>30.097999999999999</v>
      </c>
      <c r="N930" s="7">
        <v>30.097999999999999</v>
      </c>
      <c r="O930" s="7">
        <v>32.037999999999997</v>
      </c>
      <c r="P930" s="9" t="s">
        <v>24</v>
      </c>
      <c r="Q930" s="9" t="s">
        <v>24</v>
      </c>
      <c r="R930" s="7">
        <v>14</v>
      </c>
    </row>
    <row r="931" spans="1:18" ht="29.5" customHeight="1" x14ac:dyDescent="0.2">
      <c r="A931" s="10" t="s">
        <v>3882</v>
      </c>
      <c r="B931" s="11" t="s">
        <v>3883</v>
      </c>
      <c r="C931" s="10" t="s">
        <v>3884</v>
      </c>
      <c r="D931" s="10" t="s">
        <v>3884</v>
      </c>
      <c r="E931" s="10" t="s">
        <v>3885</v>
      </c>
      <c r="F931" s="10" t="s">
        <v>41</v>
      </c>
      <c r="G931" s="10" t="s">
        <v>42</v>
      </c>
      <c r="H931" s="10" t="s">
        <v>43</v>
      </c>
      <c r="I931" s="10" t="str">
        <f>HYPERLINK("http://www.cmforatura.it/","www.cmforatura.it")</f>
        <v>www.cmforatura.it</v>
      </c>
      <c r="J931" s="12">
        <v>803.01300000000003</v>
      </c>
      <c r="K931" s="12">
        <v>803.01300000000003</v>
      </c>
      <c r="L931" s="12">
        <v>675.95899999999995</v>
      </c>
      <c r="M931" s="12">
        <v>122.804</v>
      </c>
      <c r="N931" s="12">
        <v>122.804</v>
      </c>
      <c r="O931" s="12">
        <v>49.622999999999998</v>
      </c>
      <c r="P931" s="12">
        <v>4</v>
      </c>
      <c r="Q931" s="12">
        <v>4</v>
      </c>
      <c r="R931" s="12">
        <v>4</v>
      </c>
    </row>
    <row r="932" spans="1:18" ht="17" customHeight="1" x14ac:dyDescent="0.2">
      <c r="A932" s="5" t="s">
        <v>3886</v>
      </c>
      <c r="B932" s="6" t="s">
        <v>3887</v>
      </c>
      <c r="C932" s="5" t="s">
        <v>3888</v>
      </c>
      <c r="D932" s="5" t="s">
        <v>3888</v>
      </c>
      <c r="E932" s="5" t="s">
        <v>3889</v>
      </c>
      <c r="F932" s="5" t="s">
        <v>114</v>
      </c>
      <c r="G932" s="5" t="s">
        <v>100</v>
      </c>
      <c r="H932" s="5" t="s">
        <v>62</v>
      </c>
      <c r="I932" s="5" t="str">
        <f>HYPERLINK("http://shop.spio.it/","shop.spio.it")</f>
        <v>shop.spio.it</v>
      </c>
      <c r="J932" s="7">
        <v>572.28</v>
      </c>
      <c r="K932" s="7">
        <v>572.28</v>
      </c>
      <c r="L932" s="8">
        <v>675.50199999999995</v>
      </c>
      <c r="M932" s="7">
        <v>23.22</v>
      </c>
      <c r="N932" s="7">
        <v>23.22</v>
      </c>
      <c r="O932" s="7">
        <v>161.66999999999999</v>
      </c>
      <c r="P932" s="9" t="s">
        <v>24</v>
      </c>
      <c r="Q932" s="9" t="s">
        <v>24</v>
      </c>
      <c r="R932" s="7">
        <v>5</v>
      </c>
    </row>
    <row r="933" spans="1:18" ht="17" customHeight="1" x14ac:dyDescent="0.2">
      <c r="A933" s="10" t="s">
        <v>3890</v>
      </c>
      <c r="B933" s="11" t="s">
        <v>3891</v>
      </c>
      <c r="C933" s="10" t="s">
        <v>3892</v>
      </c>
      <c r="D933" s="10" t="s">
        <v>3892</v>
      </c>
      <c r="E933" s="10" t="s">
        <v>3893</v>
      </c>
      <c r="F933" s="10" t="s">
        <v>105</v>
      </c>
      <c r="G933" s="10" t="s">
        <v>234</v>
      </c>
      <c r="H933" s="10" t="s">
        <v>23</v>
      </c>
      <c r="I933" s="10" t="str">
        <f>HYPERLINK("http://www.sunjoyfashion.com/","www.sunjoyfashion.com")</f>
        <v>www.sunjoyfashion.com</v>
      </c>
      <c r="J933" s="12">
        <v>1590.692</v>
      </c>
      <c r="K933" s="12">
        <v>1590.692</v>
      </c>
      <c r="L933" s="12">
        <v>674.91600000000005</v>
      </c>
      <c r="M933" s="12">
        <v>69.594999999999999</v>
      </c>
      <c r="N933" s="12">
        <v>69.594999999999999</v>
      </c>
      <c r="O933" s="12">
        <v>-93.789000000000001</v>
      </c>
      <c r="P933" s="12">
        <v>3</v>
      </c>
      <c r="Q933" s="12">
        <v>3</v>
      </c>
      <c r="R933" s="12">
        <v>5</v>
      </c>
    </row>
    <row r="934" spans="1:18" ht="17" customHeight="1" x14ac:dyDescent="0.2">
      <c r="A934" s="5" t="s">
        <v>3894</v>
      </c>
      <c r="B934" s="6" t="s">
        <v>3895</v>
      </c>
      <c r="C934" s="5" t="s">
        <v>3896</v>
      </c>
      <c r="D934" s="5" t="s">
        <v>3896</v>
      </c>
      <c r="E934" s="5" t="s">
        <v>3897</v>
      </c>
      <c r="F934" s="5" t="s">
        <v>149</v>
      </c>
      <c r="G934" s="5" t="s">
        <v>2957</v>
      </c>
      <c r="H934" s="5" t="s">
        <v>121</v>
      </c>
      <c r="I934" s="5" t="str">
        <f>HYPERLINK("http://www.bonza.it/","www.bonza.it")</f>
        <v>www.bonza.it</v>
      </c>
      <c r="J934" s="7">
        <v>540.99099999999999</v>
      </c>
      <c r="K934" s="7">
        <v>540.99099999999999</v>
      </c>
      <c r="L934" s="8">
        <v>673.68200000000002</v>
      </c>
      <c r="M934" s="7">
        <v>-63.084000000000003</v>
      </c>
      <c r="N934" s="7">
        <v>-63.084000000000003</v>
      </c>
      <c r="O934" s="7">
        <v>-407.39800000000002</v>
      </c>
      <c r="P934" s="7">
        <v>10</v>
      </c>
      <c r="Q934" s="7">
        <v>10</v>
      </c>
      <c r="R934" s="7">
        <v>11</v>
      </c>
    </row>
    <row r="935" spans="1:18" ht="17" customHeight="1" x14ac:dyDescent="0.2">
      <c r="A935" s="10" t="s">
        <v>3898</v>
      </c>
      <c r="B935" s="11" t="s">
        <v>3899</v>
      </c>
      <c r="C935" s="10" t="s">
        <v>3900</v>
      </c>
      <c r="D935" s="10" t="s">
        <v>3900</v>
      </c>
      <c r="E935" s="10" t="s">
        <v>3901</v>
      </c>
      <c r="F935" s="10" t="s">
        <v>21</v>
      </c>
      <c r="G935" s="10" t="s">
        <v>89</v>
      </c>
      <c r="H935" s="10" t="s">
        <v>56</v>
      </c>
      <c r="I935" s="10" t="str">
        <f>HYPERLINK("http://www.scenzasrl.com/","www.scenzasrl.com")</f>
        <v>www.scenzasrl.com</v>
      </c>
      <c r="J935" s="12">
        <v>542.69500000000005</v>
      </c>
      <c r="K935" s="12">
        <v>542.69500000000005</v>
      </c>
      <c r="L935" s="12">
        <v>672.94100000000003</v>
      </c>
      <c r="M935" s="12">
        <v>2.6440000000000001</v>
      </c>
      <c r="N935" s="12">
        <v>2.6440000000000001</v>
      </c>
      <c r="O935" s="12">
        <v>14.919</v>
      </c>
      <c r="P935" s="13" t="s">
        <v>24</v>
      </c>
      <c r="Q935" s="13" t="s">
        <v>24</v>
      </c>
      <c r="R935" s="12">
        <v>3</v>
      </c>
    </row>
    <row r="936" spans="1:18" ht="29.5" customHeight="1" x14ac:dyDescent="0.2">
      <c r="A936" s="5" t="s">
        <v>3902</v>
      </c>
      <c r="B936" s="6" t="s">
        <v>3903</v>
      </c>
      <c r="C936" s="5" t="s">
        <v>3904</v>
      </c>
      <c r="D936" s="5" t="s">
        <v>3904</v>
      </c>
      <c r="E936" s="5" t="s">
        <v>3905</v>
      </c>
      <c r="F936" s="5" t="s">
        <v>41</v>
      </c>
      <c r="G936" s="5" t="s">
        <v>89</v>
      </c>
      <c r="H936" s="5" t="s">
        <v>56</v>
      </c>
      <c r="I936" s="5" t="str">
        <f>HYPERLINK("http://conceriadelchienti.com/","conceriadelchienti.com")</f>
        <v>conceriadelchienti.com</v>
      </c>
      <c r="J936" s="7">
        <v>2492.6149999999998</v>
      </c>
      <c r="K936" s="7">
        <v>2492.6149999999998</v>
      </c>
      <c r="L936" s="8">
        <v>672.82500000000005</v>
      </c>
      <c r="M936" s="7">
        <v>-256.99799999999999</v>
      </c>
      <c r="N936" s="7">
        <v>-256.99799999999999</v>
      </c>
      <c r="O936" s="7">
        <v>-55.156999999999996</v>
      </c>
      <c r="P936" s="7">
        <v>16</v>
      </c>
      <c r="Q936" s="7">
        <v>16</v>
      </c>
      <c r="R936" s="7">
        <v>14</v>
      </c>
    </row>
    <row r="937" spans="1:18" ht="17" customHeight="1" x14ac:dyDescent="0.2">
      <c r="A937" s="10" t="s">
        <v>3906</v>
      </c>
      <c r="B937" s="11" t="s">
        <v>3907</v>
      </c>
      <c r="C937" s="10" t="s">
        <v>3908</v>
      </c>
      <c r="D937" s="10" t="s">
        <v>3908</v>
      </c>
      <c r="E937" s="10" t="s">
        <v>3909</v>
      </c>
      <c r="F937" s="10" t="s">
        <v>21</v>
      </c>
      <c r="G937" s="10" t="s">
        <v>115</v>
      </c>
      <c r="H937" s="10" t="s">
        <v>43</v>
      </c>
      <c r="I937" s="10" t="str">
        <f>HYPERLINK("http://lhortopedico20srl.it/","lhortopedico20srl.it")</f>
        <v>lhortopedico20srl.it</v>
      </c>
      <c r="J937" s="12">
        <v>886.94200000000001</v>
      </c>
      <c r="K937" s="12">
        <v>886.94200000000001</v>
      </c>
      <c r="L937" s="12">
        <v>670.048</v>
      </c>
      <c r="M937" s="12">
        <v>4.0179999999999998</v>
      </c>
      <c r="N937" s="12">
        <v>4.0179999999999998</v>
      </c>
      <c r="O937" s="12">
        <v>3.8260000000000001</v>
      </c>
      <c r="P937" s="12">
        <v>7</v>
      </c>
      <c r="Q937" s="12">
        <v>7</v>
      </c>
      <c r="R937" s="12">
        <v>7</v>
      </c>
    </row>
    <row r="938" spans="1:18" ht="17" customHeight="1" x14ac:dyDescent="0.2">
      <c r="A938" s="5" t="s">
        <v>3910</v>
      </c>
      <c r="B938" s="6" t="s">
        <v>3911</v>
      </c>
      <c r="C938" s="5" t="s">
        <v>3912</v>
      </c>
      <c r="D938" s="5" t="s">
        <v>3912</v>
      </c>
      <c r="E938" s="5" t="s">
        <v>3913</v>
      </c>
      <c r="F938" s="5" t="s">
        <v>21</v>
      </c>
      <c r="G938" s="5" t="s">
        <v>140</v>
      </c>
      <c r="H938" s="5" t="s">
        <v>43</v>
      </c>
      <c r="I938" s="5" t="str">
        <f>HYPERLINK("http://www.acstudio.it/","www.acstudio.it")</f>
        <v>www.acstudio.it</v>
      </c>
      <c r="J938" s="7">
        <v>619.16200000000003</v>
      </c>
      <c r="K938" s="7">
        <v>619.16200000000003</v>
      </c>
      <c r="L938" s="8">
        <v>669.625</v>
      </c>
      <c r="M938" s="7">
        <v>36.198999999999998</v>
      </c>
      <c r="N938" s="7">
        <v>36.198999999999998</v>
      </c>
      <c r="O938" s="7">
        <v>36.304000000000002</v>
      </c>
      <c r="P938" s="7">
        <v>4</v>
      </c>
      <c r="Q938" s="7">
        <v>4</v>
      </c>
      <c r="R938" s="7">
        <v>4</v>
      </c>
    </row>
    <row r="939" spans="1:18" ht="17" customHeight="1" x14ac:dyDescent="0.2">
      <c r="A939" s="10" t="s">
        <v>3914</v>
      </c>
      <c r="B939" s="11" t="s">
        <v>3915</v>
      </c>
      <c r="C939" s="10" t="s">
        <v>3916</v>
      </c>
      <c r="D939" s="10" t="s">
        <v>3916</v>
      </c>
      <c r="E939" s="10" t="s">
        <v>3917</v>
      </c>
      <c r="F939" s="10" t="s">
        <v>41</v>
      </c>
      <c r="G939" s="10" t="s">
        <v>42</v>
      </c>
      <c r="H939" s="10" t="s">
        <v>43</v>
      </c>
      <c r="I939" s="10" t="str">
        <f>HYPERLINK("http://www.elenpell.it/","www.elenpell.it")</f>
        <v>www.elenpell.it</v>
      </c>
      <c r="J939" s="12">
        <v>713.12300000000005</v>
      </c>
      <c r="K939" s="12">
        <v>713.12300000000005</v>
      </c>
      <c r="L939" s="12">
        <v>669.25199999999995</v>
      </c>
      <c r="M939" s="12">
        <v>-7.1349999999999998</v>
      </c>
      <c r="N939" s="12">
        <v>-7.1349999999999998</v>
      </c>
      <c r="O939" s="12">
        <v>-4.3710000000000004</v>
      </c>
      <c r="P939" s="12">
        <v>3</v>
      </c>
      <c r="Q939" s="12">
        <v>3</v>
      </c>
      <c r="R939" s="12">
        <v>3</v>
      </c>
    </row>
    <row r="940" spans="1:18" ht="29.5" customHeight="1" x14ac:dyDescent="0.2">
      <c r="A940" s="5" t="s">
        <v>3918</v>
      </c>
      <c r="B940" s="6" t="s">
        <v>3919</v>
      </c>
      <c r="C940" s="5" t="s">
        <v>3920</v>
      </c>
      <c r="D940" s="5" t="s">
        <v>3920</v>
      </c>
      <c r="E940" s="5" t="s">
        <v>3921</v>
      </c>
      <c r="F940" s="5" t="s">
        <v>21</v>
      </c>
      <c r="G940" s="5" t="s">
        <v>22</v>
      </c>
      <c r="H940" s="5" t="s">
        <v>23</v>
      </c>
      <c r="I940" s="5" t="str">
        <f>HYPERLINK("http://www.lepocalzature.it/","www.lepocalzature.it")</f>
        <v>www.lepocalzature.it</v>
      </c>
      <c r="J940" s="7">
        <v>669.31100000000004</v>
      </c>
      <c r="K940" s="9" t="s">
        <v>24</v>
      </c>
      <c r="L940" s="8">
        <v>669.31100000000004</v>
      </c>
      <c r="M940" s="7">
        <v>5.9539999999999997</v>
      </c>
      <c r="N940" s="9" t="s">
        <v>24</v>
      </c>
      <c r="O940" s="7">
        <v>5.9539999999999997</v>
      </c>
      <c r="P940" s="7">
        <v>1</v>
      </c>
      <c r="Q940" s="9" t="s">
        <v>24</v>
      </c>
      <c r="R940" s="7">
        <v>1</v>
      </c>
    </row>
    <row r="941" spans="1:18" ht="17" customHeight="1" x14ac:dyDescent="0.2">
      <c r="A941" s="10" t="s">
        <v>3922</v>
      </c>
      <c r="B941" s="11" t="s">
        <v>3923</v>
      </c>
      <c r="C941" s="10" t="s">
        <v>3924</v>
      </c>
      <c r="D941" s="10" t="s">
        <v>3924</v>
      </c>
      <c r="E941" s="10" t="s">
        <v>3925</v>
      </c>
      <c r="F941" s="10" t="s">
        <v>482</v>
      </c>
      <c r="G941" s="10" t="s">
        <v>49</v>
      </c>
      <c r="H941" s="10" t="s">
        <v>23</v>
      </c>
      <c r="I941" s="10" t="str">
        <f>HYPERLINK("http://www.alest-pelletterie.com/","www.alest-pelletterie.com")</f>
        <v>www.alest-pelletterie.com</v>
      </c>
      <c r="J941" s="12">
        <v>390.12200000000001</v>
      </c>
      <c r="K941" s="12">
        <v>390.12200000000001</v>
      </c>
      <c r="L941" s="12">
        <v>668.95500000000004</v>
      </c>
      <c r="M941" s="12">
        <v>-2.5099999999999998</v>
      </c>
      <c r="N941" s="12">
        <v>-2.5099999999999998</v>
      </c>
      <c r="O941" s="12">
        <v>-243.00700000000001</v>
      </c>
      <c r="P941" s="12">
        <v>2</v>
      </c>
      <c r="Q941" s="12">
        <v>2</v>
      </c>
      <c r="R941" s="12">
        <v>4</v>
      </c>
    </row>
    <row r="942" spans="1:18" ht="17" customHeight="1" x14ac:dyDescent="0.2">
      <c r="A942" s="5" t="s">
        <v>3926</v>
      </c>
      <c r="B942" s="6" t="s">
        <v>3927</v>
      </c>
      <c r="C942" s="5" t="s">
        <v>3928</v>
      </c>
      <c r="D942" s="5" t="s">
        <v>3928</v>
      </c>
      <c r="E942" s="5" t="s">
        <v>3929</v>
      </c>
      <c r="F942" s="5" t="s">
        <v>48</v>
      </c>
      <c r="G942" s="5" t="s">
        <v>3930</v>
      </c>
      <c r="H942" s="5" t="s">
        <v>299</v>
      </c>
      <c r="I942" s="5" t="str">
        <f>HYPERLINK("http://www.quadernando.it/","www.quadernando.it")</f>
        <v>www.quadernando.it</v>
      </c>
      <c r="J942" s="7">
        <v>432.50099999999998</v>
      </c>
      <c r="K942" s="7">
        <v>432.50099999999998</v>
      </c>
      <c r="L942" s="8">
        <v>668.49099999999999</v>
      </c>
      <c r="M942" s="7">
        <v>0.72899999999999998</v>
      </c>
      <c r="N942" s="7">
        <v>0.72899999999999998</v>
      </c>
      <c r="O942" s="7">
        <v>6.2430000000000003</v>
      </c>
      <c r="P942" s="7">
        <v>14</v>
      </c>
      <c r="Q942" s="7">
        <v>14</v>
      </c>
      <c r="R942" s="7">
        <v>13</v>
      </c>
    </row>
    <row r="943" spans="1:18" ht="17" customHeight="1" x14ac:dyDescent="0.2">
      <c r="A943" s="10" t="s">
        <v>3931</v>
      </c>
      <c r="B943" s="11" t="s">
        <v>3932</v>
      </c>
      <c r="C943" s="10" t="s">
        <v>3933</v>
      </c>
      <c r="D943" s="10" t="s">
        <v>3934</v>
      </c>
      <c r="E943" s="10" t="s">
        <v>3935</v>
      </c>
      <c r="F943" s="10" t="s">
        <v>72</v>
      </c>
      <c r="G943" s="10" t="s">
        <v>73</v>
      </c>
      <c r="H943" s="10" t="s">
        <v>74</v>
      </c>
      <c r="I943" s="10" t="str">
        <f>HYPERLINK("http://www.tecnorivertintoriacalze.com/","www.tecnorivertintoriacalze.com")</f>
        <v>www.tecnorivertintoriacalze.com</v>
      </c>
      <c r="J943" s="12">
        <v>362.447</v>
      </c>
      <c r="K943" s="12">
        <v>362.447</v>
      </c>
      <c r="L943" s="12">
        <v>666.54600000000005</v>
      </c>
      <c r="M943" s="12">
        <v>-194.75299999999999</v>
      </c>
      <c r="N943" s="12">
        <v>-194.75299999999999</v>
      </c>
      <c r="O943" s="12">
        <v>-169.03</v>
      </c>
      <c r="P943" s="12">
        <v>11</v>
      </c>
      <c r="Q943" s="12">
        <v>11</v>
      </c>
      <c r="R943" s="12">
        <v>18</v>
      </c>
    </row>
    <row r="944" spans="1:18" ht="17" customHeight="1" x14ac:dyDescent="0.2">
      <c r="A944" s="5" t="s">
        <v>3936</v>
      </c>
      <c r="B944" s="6" t="s">
        <v>3937</v>
      </c>
      <c r="C944" s="5" t="s">
        <v>3938</v>
      </c>
      <c r="D944" s="5" t="s">
        <v>3938</v>
      </c>
      <c r="E944" s="5" t="s">
        <v>3939</v>
      </c>
      <c r="F944" s="5" t="s">
        <v>21</v>
      </c>
      <c r="G944" s="5" t="s">
        <v>79</v>
      </c>
      <c r="H944" s="5" t="s">
        <v>56</v>
      </c>
      <c r="I944" s="5" t="str">
        <f>HYPERLINK("http://www.gianfrancobutteri.com/","www.gianfrancobutteri.com")</f>
        <v>www.gianfrancobutteri.com</v>
      </c>
      <c r="J944" s="7">
        <v>677.77099999999996</v>
      </c>
      <c r="K944" s="7">
        <v>677.77099999999996</v>
      </c>
      <c r="L944" s="8">
        <v>665.94100000000003</v>
      </c>
      <c r="M944" s="7">
        <v>-127.26900000000001</v>
      </c>
      <c r="N944" s="7">
        <v>-127.26900000000001</v>
      </c>
      <c r="O944" s="7">
        <v>6.37</v>
      </c>
      <c r="P944" s="7">
        <v>5</v>
      </c>
      <c r="Q944" s="7">
        <v>5</v>
      </c>
      <c r="R944" s="7">
        <v>7</v>
      </c>
    </row>
    <row r="945" spans="1:18" ht="17" customHeight="1" x14ac:dyDescent="0.2">
      <c r="A945" s="10" t="s">
        <v>3940</v>
      </c>
      <c r="B945" s="11" t="s">
        <v>3941</v>
      </c>
      <c r="C945" s="10" t="s">
        <v>3942</v>
      </c>
      <c r="D945" s="10" t="s">
        <v>3942</v>
      </c>
      <c r="E945" s="10" t="s">
        <v>3943</v>
      </c>
      <c r="F945" s="10" t="s">
        <v>114</v>
      </c>
      <c r="G945" s="10" t="s">
        <v>100</v>
      </c>
      <c r="H945" s="10" t="s">
        <v>62</v>
      </c>
      <c r="I945" s="10" t="str">
        <f>HYPERLINK("http://www.marchesanodenim.com/","www.marchesanodenim.com")</f>
        <v>www.marchesanodenim.com</v>
      </c>
      <c r="J945" s="12">
        <v>947.02499999999998</v>
      </c>
      <c r="K945" s="12">
        <v>947.02499999999998</v>
      </c>
      <c r="L945" s="12">
        <v>664.96299999999997</v>
      </c>
      <c r="M945" s="12">
        <v>17.071000000000002</v>
      </c>
      <c r="N945" s="12">
        <v>17.071000000000002</v>
      </c>
      <c r="O945" s="12">
        <v>11.464</v>
      </c>
      <c r="P945" s="12">
        <v>8</v>
      </c>
      <c r="Q945" s="12">
        <v>8</v>
      </c>
      <c r="R945" s="12">
        <v>9</v>
      </c>
    </row>
    <row r="946" spans="1:18" ht="17" customHeight="1" x14ac:dyDescent="0.2">
      <c r="A946" s="5" t="s">
        <v>3944</v>
      </c>
      <c r="B946" s="6" t="s">
        <v>3945</v>
      </c>
      <c r="C946" s="5" t="s">
        <v>3946</v>
      </c>
      <c r="D946" s="5" t="s">
        <v>3946</v>
      </c>
      <c r="E946" s="5" t="s">
        <v>3947</v>
      </c>
      <c r="F946" s="5" t="s">
        <v>181</v>
      </c>
      <c r="G946" s="5" t="s">
        <v>100</v>
      </c>
      <c r="H946" s="5" t="s">
        <v>62</v>
      </c>
      <c r="I946" s="5" t="str">
        <f>HYPERLINK("http://farella.it/","farella.it")</f>
        <v>farella.it</v>
      </c>
      <c r="J946" s="7">
        <v>640.90499999999997</v>
      </c>
      <c r="K946" s="7">
        <v>640.90499999999997</v>
      </c>
      <c r="L946" s="8">
        <v>664.99300000000005</v>
      </c>
      <c r="M946" s="7">
        <v>65.695999999999998</v>
      </c>
      <c r="N946" s="7">
        <v>65.695999999999998</v>
      </c>
      <c r="O946" s="7">
        <v>67.498999999999995</v>
      </c>
      <c r="P946" s="7">
        <v>4</v>
      </c>
      <c r="Q946" s="7">
        <v>4</v>
      </c>
      <c r="R946" s="7">
        <v>6</v>
      </c>
    </row>
    <row r="947" spans="1:18" ht="43" customHeight="1" x14ac:dyDescent="0.2">
      <c r="A947" s="10" t="s">
        <v>3948</v>
      </c>
      <c r="B947" s="11" t="s">
        <v>3949</v>
      </c>
      <c r="C947" s="10" t="s">
        <v>3950</v>
      </c>
      <c r="D947" s="10" t="s">
        <v>3950</v>
      </c>
      <c r="E947" s="10" t="s">
        <v>3951</v>
      </c>
      <c r="F947" s="10" t="s">
        <v>48</v>
      </c>
      <c r="G947" s="10" t="s">
        <v>120</v>
      </c>
      <c r="H947" s="10" t="s">
        <v>121</v>
      </c>
      <c r="I947" s="10" t="str">
        <f>HYPERLINK("http://www.delcomm.it/","www.delcomm.it")</f>
        <v>www.delcomm.it</v>
      </c>
      <c r="J947" s="12">
        <v>883.55499999999995</v>
      </c>
      <c r="K947" s="12">
        <v>883.55499999999995</v>
      </c>
      <c r="L947" s="12">
        <v>664.36699999999996</v>
      </c>
      <c r="M947" s="12">
        <v>32.237000000000002</v>
      </c>
      <c r="N947" s="12">
        <v>32.237000000000002</v>
      </c>
      <c r="O947" s="12">
        <v>5.8760000000000003</v>
      </c>
      <c r="P947" s="13" t="s">
        <v>24</v>
      </c>
      <c r="Q947" s="13" t="s">
        <v>24</v>
      </c>
      <c r="R947" s="12">
        <v>11</v>
      </c>
    </row>
    <row r="948" spans="1:18" ht="17" customHeight="1" x14ac:dyDescent="0.2">
      <c r="A948" s="5" t="s">
        <v>3952</v>
      </c>
      <c r="B948" s="6" t="s">
        <v>3953</v>
      </c>
      <c r="C948" s="5" t="s">
        <v>3954</v>
      </c>
      <c r="D948" s="5" t="s">
        <v>3954</v>
      </c>
      <c r="E948" s="5" t="s">
        <v>3955</v>
      </c>
      <c r="F948" s="5" t="s">
        <v>21</v>
      </c>
      <c r="G948" s="5" t="s">
        <v>42</v>
      </c>
      <c r="H948" s="5" t="s">
        <v>43</v>
      </c>
      <c r="I948" s="5" t="str">
        <f>HYPERLINK("http://www.gianfort.it/","www.gianfort.it")</f>
        <v>www.gianfort.it</v>
      </c>
      <c r="J948" s="7">
        <v>549.15099999999995</v>
      </c>
      <c r="K948" s="7">
        <v>549.15099999999995</v>
      </c>
      <c r="L948" s="8">
        <v>664.25300000000004</v>
      </c>
      <c r="M948" s="7">
        <v>-146.083</v>
      </c>
      <c r="N948" s="7">
        <v>-146.083</v>
      </c>
      <c r="O948" s="7">
        <v>-121.30200000000001</v>
      </c>
      <c r="P948" s="7">
        <v>12</v>
      </c>
      <c r="Q948" s="7">
        <v>12</v>
      </c>
      <c r="R948" s="7">
        <v>15</v>
      </c>
    </row>
    <row r="949" spans="1:18" ht="17" customHeight="1" x14ac:dyDescent="0.2">
      <c r="A949" s="10" t="s">
        <v>3956</v>
      </c>
      <c r="B949" s="11" t="s">
        <v>3957</v>
      </c>
      <c r="C949" s="10" t="s">
        <v>3958</v>
      </c>
      <c r="D949" s="10" t="s">
        <v>3958</v>
      </c>
      <c r="E949" s="10" t="s">
        <v>3959</v>
      </c>
      <c r="F949" s="10" t="s">
        <v>41</v>
      </c>
      <c r="G949" s="10" t="s">
        <v>42</v>
      </c>
      <c r="H949" s="10" t="s">
        <v>43</v>
      </c>
      <c r="I949" s="10" t="str">
        <f>HYPERLINK("http://www.virtuspellami.it/","www.virtuspellami.it")</f>
        <v>www.virtuspellami.it</v>
      </c>
      <c r="J949" s="12">
        <v>1712.981</v>
      </c>
      <c r="K949" s="12">
        <v>961.31500000000005</v>
      </c>
      <c r="L949" s="12">
        <v>664.22400000000005</v>
      </c>
      <c r="M949" s="12">
        <v>138.05799999999999</v>
      </c>
      <c r="N949" s="12">
        <v>18.474</v>
      </c>
      <c r="O949" s="12">
        <v>12.707000000000001</v>
      </c>
      <c r="P949" s="13" t="s">
        <v>24</v>
      </c>
      <c r="Q949" s="13" t="s">
        <v>24</v>
      </c>
      <c r="R949" s="12">
        <v>0</v>
      </c>
    </row>
    <row r="950" spans="1:18" ht="17" customHeight="1" x14ac:dyDescent="0.2">
      <c r="A950" s="5" t="s">
        <v>3960</v>
      </c>
      <c r="B950" s="6" t="s">
        <v>3961</v>
      </c>
      <c r="C950" s="5" t="s">
        <v>3962</v>
      </c>
      <c r="D950" s="5" t="s">
        <v>3962</v>
      </c>
      <c r="E950" s="5" t="s">
        <v>3963</v>
      </c>
      <c r="F950" s="5" t="s">
        <v>105</v>
      </c>
      <c r="G950" s="5" t="s">
        <v>49</v>
      </c>
      <c r="H950" s="5" t="s">
        <v>23</v>
      </c>
      <c r="I950" s="5" t="str">
        <f>HYPERLINK("http://www.dierretex.it/","http://www.dierretex.it/")</f>
        <v>http://www.dierretex.it/</v>
      </c>
      <c r="J950" s="7">
        <v>736.01499999999999</v>
      </c>
      <c r="K950" s="7">
        <v>736.01499999999999</v>
      </c>
      <c r="L950" s="8">
        <v>664.16399999999999</v>
      </c>
      <c r="M950" s="7">
        <v>81.968999999999994</v>
      </c>
      <c r="N950" s="7">
        <v>81.968999999999994</v>
      </c>
      <c r="O950" s="7">
        <v>44.323999999999998</v>
      </c>
      <c r="P950" s="9" t="s">
        <v>24</v>
      </c>
      <c r="Q950" s="9" t="s">
        <v>24</v>
      </c>
      <c r="R950" s="7">
        <v>6</v>
      </c>
    </row>
    <row r="951" spans="1:18" ht="29.5" customHeight="1" x14ac:dyDescent="0.2">
      <c r="A951" s="10" t="s">
        <v>3964</v>
      </c>
      <c r="B951" s="11" t="s">
        <v>3965</v>
      </c>
      <c r="C951" s="10" t="s">
        <v>3966</v>
      </c>
      <c r="D951" s="10" t="s">
        <v>3966</v>
      </c>
      <c r="E951" s="10" t="s">
        <v>3967</v>
      </c>
      <c r="F951" s="10" t="s">
        <v>29</v>
      </c>
      <c r="G951" s="10" t="s">
        <v>2139</v>
      </c>
      <c r="H951" s="10" t="s">
        <v>2140</v>
      </c>
      <c r="I951" s="10" t="str">
        <f>HYPERLINK("http://www.anpelsrl.it/","www.anpelsrl.it")</f>
        <v>www.anpelsrl.it</v>
      </c>
      <c r="J951" s="12">
        <v>764.05399999999997</v>
      </c>
      <c r="K951" s="12">
        <v>764.05399999999997</v>
      </c>
      <c r="L951" s="12">
        <v>664.07299999999998</v>
      </c>
      <c r="M951" s="12">
        <v>24.12</v>
      </c>
      <c r="N951" s="12">
        <v>24.12</v>
      </c>
      <c r="O951" s="12">
        <v>22.498000000000001</v>
      </c>
      <c r="P951" s="12">
        <v>6</v>
      </c>
      <c r="Q951" s="12">
        <v>6</v>
      </c>
      <c r="R951" s="12">
        <v>6</v>
      </c>
    </row>
    <row r="952" spans="1:18" ht="17" customHeight="1" x14ac:dyDescent="0.2">
      <c r="A952" s="5" t="s">
        <v>3968</v>
      </c>
      <c r="B952" s="6" t="s">
        <v>3969</v>
      </c>
      <c r="C952" s="5" t="s">
        <v>3970</v>
      </c>
      <c r="D952" s="5" t="s">
        <v>3970</v>
      </c>
      <c r="E952" s="5" t="s">
        <v>3971</v>
      </c>
      <c r="F952" s="5" t="s">
        <v>367</v>
      </c>
      <c r="G952" s="5" t="s">
        <v>229</v>
      </c>
      <c r="H952" s="5" t="s">
        <v>31</v>
      </c>
      <c r="I952" s="5" t="str">
        <f>HYPERLINK("http://www.europrotec.it/","www.europrotec.it")</f>
        <v>www.europrotec.it</v>
      </c>
      <c r="J952" s="7">
        <v>783.58799999999997</v>
      </c>
      <c r="K952" s="7">
        <v>783.58799999999997</v>
      </c>
      <c r="L952" s="8">
        <v>663.32</v>
      </c>
      <c r="M952" s="7">
        <v>51.579000000000001</v>
      </c>
      <c r="N952" s="7">
        <v>51.579000000000001</v>
      </c>
      <c r="O952" s="7">
        <v>55.578000000000003</v>
      </c>
      <c r="P952" s="9" t="s">
        <v>24</v>
      </c>
      <c r="Q952" s="9" t="s">
        <v>24</v>
      </c>
      <c r="R952" s="7">
        <v>14</v>
      </c>
    </row>
    <row r="953" spans="1:18" ht="17" customHeight="1" x14ac:dyDescent="0.2">
      <c r="A953" s="10" t="s">
        <v>3972</v>
      </c>
      <c r="B953" s="11" t="s">
        <v>3973</v>
      </c>
      <c r="C953" s="10" t="s">
        <v>3974</v>
      </c>
      <c r="D953" s="10" t="s">
        <v>3974</v>
      </c>
      <c r="E953" s="10" t="s">
        <v>3975</v>
      </c>
      <c r="F953" s="10" t="s">
        <v>29</v>
      </c>
      <c r="G953" s="10" t="s">
        <v>234</v>
      </c>
      <c r="H953" s="10" t="s">
        <v>23</v>
      </c>
      <c r="I953" s="10" t="str">
        <f>HYPERLINK("http://www.solomodasrl.com/","www.solomodasrl.com")</f>
        <v>www.solomodasrl.com</v>
      </c>
      <c r="J953" s="12">
        <v>662.66099999999994</v>
      </c>
      <c r="K953" s="13" t="s">
        <v>24</v>
      </c>
      <c r="L953" s="12">
        <v>662.66099999999994</v>
      </c>
      <c r="M953" s="12">
        <v>11.180999999999999</v>
      </c>
      <c r="N953" s="13" t="s">
        <v>24</v>
      </c>
      <c r="O953" s="12">
        <v>11.180999999999999</v>
      </c>
      <c r="P953" s="12">
        <v>5</v>
      </c>
      <c r="Q953" s="13" t="s">
        <v>24</v>
      </c>
      <c r="R953" s="12">
        <v>5</v>
      </c>
    </row>
    <row r="954" spans="1:18" ht="17" customHeight="1" x14ac:dyDescent="0.2">
      <c r="A954" s="5" t="s">
        <v>3976</v>
      </c>
      <c r="B954" s="6" t="s">
        <v>3977</v>
      </c>
      <c r="C954" s="5" t="s">
        <v>3978</v>
      </c>
      <c r="D954" s="5" t="s">
        <v>3978</v>
      </c>
      <c r="E954" s="5" t="s">
        <v>3979</v>
      </c>
      <c r="F954" s="5" t="s">
        <v>181</v>
      </c>
      <c r="G954" s="5" t="s">
        <v>654</v>
      </c>
      <c r="H954" s="5" t="s">
        <v>159</v>
      </c>
      <c r="I954" s="5" t="str">
        <f>HYPERLINK("http://www.barnamartini.it/","www.barnamartini.it")</f>
        <v>www.barnamartini.it</v>
      </c>
      <c r="J954" s="7">
        <v>582.75099999999998</v>
      </c>
      <c r="K954" s="7">
        <v>582.75099999999998</v>
      </c>
      <c r="L954" s="8">
        <v>660.62300000000005</v>
      </c>
      <c r="M954" s="7">
        <v>10.114000000000001</v>
      </c>
      <c r="N954" s="7">
        <v>10.114000000000001</v>
      </c>
      <c r="O954" s="7">
        <v>69.436999999999998</v>
      </c>
      <c r="P954" s="7">
        <v>5</v>
      </c>
      <c r="Q954" s="7">
        <v>5</v>
      </c>
      <c r="R954" s="7">
        <v>5</v>
      </c>
    </row>
    <row r="955" spans="1:18" ht="17" customHeight="1" x14ac:dyDescent="0.2">
      <c r="A955" s="10" t="s">
        <v>3980</v>
      </c>
      <c r="B955" s="11" t="s">
        <v>3981</v>
      </c>
      <c r="C955" s="10" t="s">
        <v>3982</v>
      </c>
      <c r="D955" s="10" t="s">
        <v>3982</v>
      </c>
      <c r="E955" s="10" t="s">
        <v>3983</v>
      </c>
      <c r="F955" s="10" t="s">
        <v>54</v>
      </c>
      <c r="G955" s="10" t="s">
        <v>49</v>
      </c>
      <c r="H955" s="10" t="s">
        <v>23</v>
      </c>
      <c r="I955" s="10" t="str">
        <f>HYPERLINK("http://www.conceriasolaris.it/","www.conceriasolaris.it")</f>
        <v>www.conceriasolaris.it</v>
      </c>
      <c r="J955" s="12">
        <v>310.07299999999998</v>
      </c>
      <c r="K955" s="12">
        <v>452.81299999999999</v>
      </c>
      <c r="L955" s="12">
        <v>657.904</v>
      </c>
      <c r="M955" s="12">
        <v>3.6150000000000002</v>
      </c>
      <c r="N955" s="12">
        <v>-38.142000000000003</v>
      </c>
      <c r="O955" s="12">
        <v>-1.4810000000000001</v>
      </c>
      <c r="P955" s="12">
        <v>2</v>
      </c>
      <c r="Q955" s="12">
        <v>2</v>
      </c>
      <c r="R955" s="12">
        <v>2</v>
      </c>
    </row>
    <row r="956" spans="1:18" ht="17" customHeight="1" x14ac:dyDescent="0.2">
      <c r="A956" s="5" t="s">
        <v>3984</v>
      </c>
      <c r="B956" s="6" t="s">
        <v>3985</v>
      </c>
      <c r="C956" s="5" t="s">
        <v>3986</v>
      </c>
      <c r="D956" s="5" t="s">
        <v>3986</v>
      </c>
      <c r="E956" s="5" t="s">
        <v>3987</v>
      </c>
      <c r="F956" s="5" t="s">
        <v>29</v>
      </c>
      <c r="G956" s="5" t="s">
        <v>190</v>
      </c>
      <c r="H956" s="5" t="s">
        <v>74</v>
      </c>
      <c r="I956" s="5" t="str">
        <f>HYPERLINK("http://www.casadartefiore.it/","www.casadartefiore.it")</f>
        <v>www.casadartefiore.it</v>
      </c>
      <c r="J956" s="7">
        <v>669.01700000000005</v>
      </c>
      <c r="K956" s="7">
        <v>669.01700000000005</v>
      </c>
      <c r="L956" s="8">
        <v>656.89099999999996</v>
      </c>
      <c r="M956" s="7">
        <v>13.227</v>
      </c>
      <c r="N956" s="7">
        <v>13.227</v>
      </c>
      <c r="O956" s="7">
        <v>12.923</v>
      </c>
      <c r="P956" s="7">
        <v>12</v>
      </c>
      <c r="Q956" s="7">
        <v>12</v>
      </c>
      <c r="R956" s="7">
        <v>13</v>
      </c>
    </row>
    <row r="957" spans="1:18" ht="29.5" customHeight="1" x14ac:dyDescent="0.2">
      <c r="A957" s="10" t="s">
        <v>3988</v>
      </c>
      <c r="B957" s="11" t="s">
        <v>3989</v>
      </c>
      <c r="C957" s="10" t="s">
        <v>3990</v>
      </c>
      <c r="D957" s="10" t="s">
        <v>3990</v>
      </c>
      <c r="E957" s="10" t="s">
        <v>3991</v>
      </c>
      <c r="F957" s="10" t="s">
        <v>29</v>
      </c>
      <c r="G957" s="10" t="s">
        <v>190</v>
      </c>
      <c r="H957" s="10" t="s">
        <v>74</v>
      </c>
      <c r="I957" s="10" t="str">
        <f>HYPERLINK("http://www.stefaniacarrera.com/","www.stefaniacarrera.com")</f>
        <v>www.stefaniacarrera.com</v>
      </c>
      <c r="J957" s="12">
        <v>637.04200000000003</v>
      </c>
      <c r="K957" s="12">
        <v>637.04200000000003</v>
      </c>
      <c r="L957" s="12">
        <v>655.65499999999997</v>
      </c>
      <c r="M957" s="12">
        <v>8.5389999999999997</v>
      </c>
      <c r="N957" s="12">
        <v>8.5389999999999997</v>
      </c>
      <c r="O957" s="12">
        <v>6.1950000000000003</v>
      </c>
      <c r="P957" s="12">
        <v>1</v>
      </c>
      <c r="Q957" s="12">
        <v>1</v>
      </c>
      <c r="R957" s="12">
        <v>2</v>
      </c>
    </row>
    <row r="958" spans="1:18" ht="17" customHeight="1" x14ac:dyDescent="0.2">
      <c r="A958" s="5" t="s">
        <v>3992</v>
      </c>
      <c r="B958" s="6" t="s">
        <v>3993</v>
      </c>
      <c r="C958" s="5" t="s">
        <v>3994</v>
      </c>
      <c r="D958" s="5" t="s">
        <v>3994</v>
      </c>
      <c r="E958" s="5" t="s">
        <v>3995</v>
      </c>
      <c r="F958" s="5" t="s">
        <v>21</v>
      </c>
      <c r="G958" s="5" t="s">
        <v>663</v>
      </c>
      <c r="H958" s="5" t="s">
        <v>299</v>
      </c>
      <c r="I958" s="5" t="str">
        <f>HYPERLINK("http://www.parmamadein.com/","www.parmamadein.com")</f>
        <v>www.parmamadein.com</v>
      </c>
      <c r="J958" s="7">
        <v>1135.277</v>
      </c>
      <c r="K958" s="7">
        <v>1135.277</v>
      </c>
      <c r="L958" s="8">
        <v>654.94399999999996</v>
      </c>
      <c r="M958" s="7">
        <v>218.66900000000001</v>
      </c>
      <c r="N958" s="7">
        <v>218.66900000000001</v>
      </c>
      <c r="O958" s="7">
        <v>17.056000000000001</v>
      </c>
      <c r="P958" s="7">
        <v>2</v>
      </c>
      <c r="Q958" s="7">
        <v>2</v>
      </c>
      <c r="R958" s="7">
        <v>2</v>
      </c>
    </row>
    <row r="959" spans="1:18" ht="17" customHeight="1" x14ac:dyDescent="0.2">
      <c r="A959" s="10" t="s">
        <v>3996</v>
      </c>
      <c r="B959" s="11" t="s">
        <v>3997</v>
      </c>
      <c r="C959" s="10" t="s">
        <v>3998</v>
      </c>
      <c r="D959" s="10" t="s">
        <v>3998</v>
      </c>
      <c r="E959" s="10" t="s">
        <v>3999</v>
      </c>
      <c r="F959" s="10" t="s">
        <v>99</v>
      </c>
      <c r="G959" s="10" t="s">
        <v>1013</v>
      </c>
      <c r="H959" s="10" t="s">
        <v>43</v>
      </c>
      <c r="I959" s="10" t="str">
        <f>HYPERLINK("http://www.legatteshoes.it/","www.legatteshoes.it")</f>
        <v>www.legatteshoes.it</v>
      </c>
      <c r="J959" s="12">
        <v>604.36599999999999</v>
      </c>
      <c r="K959" s="12">
        <v>604.36599999999999</v>
      </c>
      <c r="L959" s="12">
        <v>654.78</v>
      </c>
      <c r="M959" s="12">
        <v>38.027999999999999</v>
      </c>
      <c r="N959" s="12">
        <v>38.027999999999999</v>
      </c>
      <c r="O959" s="12">
        <v>15.939</v>
      </c>
      <c r="P959" s="12">
        <v>8</v>
      </c>
      <c r="Q959" s="12">
        <v>8</v>
      </c>
      <c r="R959" s="12">
        <v>8</v>
      </c>
    </row>
    <row r="960" spans="1:18" ht="17" customHeight="1" x14ac:dyDescent="0.2">
      <c r="A960" s="5" t="s">
        <v>4000</v>
      </c>
      <c r="B960" s="6" t="s">
        <v>4001</v>
      </c>
      <c r="C960" s="5" t="s">
        <v>4002</v>
      </c>
      <c r="D960" s="5" t="s">
        <v>4002</v>
      </c>
      <c r="E960" s="5" t="s">
        <v>4003</v>
      </c>
      <c r="F960" s="5" t="s">
        <v>114</v>
      </c>
      <c r="G960" s="5" t="s">
        <v>4004</v>
      </c>
      <c r="H960" s="5" t="s">
        <v>525</v>
      </c>
      <c r="I960" s="5" t="str">
        <f>HYPERLINK("http://www.sikeliaconfezioni.com/","www.sikeliaconfezioni.com")</f>
        <v>www.sikeliaconfezioni.com</v>
      </c>
      <c r="J960" s="7">
        <v>774.495</v>
      </c>
      <c r="K960" s="7">
        <v>774.495</v>
      </c>
      <c r="L960" s="8">
        <v>654.40300000000002</v>
      </c>
      <c r="M960" s="7">
        <v>115.836</v>
      </c>
      <c r="N960" s="7">
        <v>115.836</v>
      </c>
      <c r="O960" s="7">
        <v>157.25399999999999</v>
      </c>
      <c r="P960" s="7">
        <v>26</v>
      </c>
      <c r="Q960" s="7">
        <v>26</v>
      </c>
      <c r="R960" s="7">
        <v>19</v>
      </c>
    </row>
    <row r="961" spans="1:18" ht="17" customHeight="1" x14ac:dyDescent="0.2">
      <c r="A961" s="10" t="s">
        <v>4005</v>
      </c>
      <c r="B961" s="11" t="s">
        <v>4006</v>
      </c>
      <c r="C961" s="10" t="s">
        <v>4007</v>
      </c>
      <c r="D961" s="10" t="s">
        <v>4007</v>
      </c>
      <c r="E961" s="10" t="s">
        <v>4008</v>
      </c>
      <c r="F961" s="10" t="s">
        <v>29</v>
      </c>
      <c r="G961" s="10" t="s">
        <v>100</v>
      </c>
      <c r="H961" s="10" t="s">
        <v>62</v>
      </c>
      <c r="I961" s="10" t="str">
        <f>HYPERLINK("http://www.scaranonapoli.it/","www.scaranonapoli.it")</f>
        <v>www.scaranonapoli.it</v>
      </c>
      <c r="J961" s="12">
        <v>1112.7860000000001</v>
      </c>
      <c r="K961" s="12">
        <v>1112.7860000000001</v>
      </c>
      <c r="L961" s="12">
        <v>653.65200000000004</v>
      </c>
      <c r="M961" s="12">
        <v>27.748999999999999</v>
      </c>
      <c r="N961" s="12">
        <v>27.748999999999999</v>
      </c>
      <c r="O961" s="12">
        <v>9.6539999999999999</v>
      </c>
      <c r="P961" s="13" t="s">
        <v>24</v>
      </c>
      <c r="Q961" s="13" t="s">
        <v>24</v>
      </c>
      <c r="R961" s="12">
        <v>12</v>
      </c>
    </row>
    <row r="962" spans="1:18" ht="29.5" customHeight="1" x14ac:dyDescent="0.2">
      <c r="A962" s="5" t="s">
        <v>4009</v>
      </c>
      <c r="B962" s="6" t="s">
        <v>4010</v>
      </c>
      <c r="C962" s="5" t="s">
        <v>4011</v>
      </c>
      <c r="D962" s="5" t="s">
        <v>4011</v>
      </c>
      <c r="E962" s="5" t="s">
        <v>4012</v>
      </c>
      <c r="F962" s="5" t="s">
        <v>462</v>
      </c>
      <c r="G962" s="5" t="s">
        <v>115</v>
      </c>
      <c r="H962" s="5" t="s">
        <v>43</v>
      </c>
      <c r="I962" s="5" t="str">
        <f>HYPERLINK("http://www.bolzonella1934.it/","www.bolzonella1934.it")</f>
        <v>www.bolzonella1934.it</v>
      </c>
      <c r="J962" s="7">
        <v>798.41700000000003</v>
      </c>
      <c r="K962" s="7">
        <v>798.41700000000003</v>
      </c>
      <c r="L962" s="8">
        <v>652.30999999999995</v>
      </c>
      <c r="M962" s="7">
        <v>18.957999999999998</v>
      </c>
      <c r="N962" s="7">
        <v>18.957999999999998</v>
      </c>
      <c r="O962" s="7">
        <v>14.798</v>
      </c>
      <c r="P962" s="7">
        <v>7</v>
      </c>
      <c r="Q962" s="7">
        <v>7</v>
      </c>
      <c r="R962" s="7">
        <v>7</v>
      </c>
    </row>
    <row r="963" spans="1:18" ht="29.5" customHeight="1" x14ac:dyDescent="0.2">
      <c r="A963" s="10" t="s">
        <v>4013</v>
      </c>
      <c r="B963" s="11" t="s">
        <v>4014</v>
      </c>
      <c r="C963" s="10" t="s">
        <v>4015</v>
      </c>
      <c r="D963" s="10" t="s">
        <v>4015</v>
      </c>
      <c r="E963" s="10" t="s">
        <v>4016</v>
      </c>
      <c r="F963" s="10" t="s">
        <v>21</v>
      </c>
      <c r="G963" s="10" t="s">
        <v>190</v>
      </c>
      <c r="H963" s="10" t="s">
        <v>74</v>
      </c>
      <c r="I963" s="10" t="str">
        <f>HYPERLINK("http://www.dimisport.it/","www.dimisport.it")</f>
        <v>www.dimisport.it</v>
      </c>
      <c r="J963" s="12">
        <v>651.74900000000002</v>
      </c>
      <c r="K963" s="13" t="s">
        <v>24</v>
      </c>
      <c r="L963" s="12">
        <v>651.74900000000002</v>
      </c>
      <c r="M963" s="12">
        <v>-19.852</v>
      </c>
      <c r="N963" s="13" t="s">
        <v>24</v>
      </c>
      <c r="O963" s="12">
        <v>-19.852</v>
      </c>
      <c r="P963" s="12">
        <v>12</v>
      </c>
      <c r="Q963" s="13" t="s">
        <v>24</v>
      </c>
      <c r="R963" s="12">
        <v>12</v>
      </c>
    </row>
    <row r="964" spans="1:18" ht="17" customHeight="1" x14ac:dyDescent="0.2">
      <c r="A964" s="5" t="s">
        <v>4017</v>
      </c>
      <c r="B964" s="6" t="s">
        <v>4018</v>
      </c>
      <c r="C964" s="5" t="s">
        <v>4019</v>
      </c>
      <c r="D964" s="5" t="s">
        <v>4019</v>
      </c>
      <c r="E964" s="5" t="s">
        <v>4020</v>
      </c>
      <c r="F964" s="5" t="s">
        <v>105</v>
      </c>
      <c r="G964" s="5" t="s">
        <v>100</v>
      </c>
      <c r="H964" s="5" t="s">
        <v>62</v>
      </c>
      <c r="I964" s="5" t="str">
        <f>HYPERLINK("http://www.casanova80.com/","www.casanova80.com")</f>
        <v>www.casanova80.com</v>
      </c>
      <c r="J964" s="7">
        <v>719.54600000000005</v>
      </c>
      <c r="K964" s="7">
        <v>719.54600000000005</v>
      </c>
      <c r="L964" s="8">
        <v>651.4</v>
      </c>
      <c r="M964" s="7">
        <v>26.492000000000001</v>
      </c>
      <c r="N964" s="7">
        <v>26.492000000000001</v>
      </c>
      <c r="O964" s="7">
        <v>20.167999999999999</v>
      </c>
      <c r="P964" s="9" t="s">
        <v>24</v>
      </c>
      <c r="Q964" s="9" t="s">
        <v>24</v>
      </c>
      <c r="R964" s="7">
        <v>13</v>
      </c>
    </row>
    <row r="965" spans="1:18" ht="17" customHeight="1" x14ac:dyDescent="0.2">
      <c r="A965" s="10" t="s">
        <v>4021</v>
      </c>
      <c r="B965" s="11" t="s">
        <v>4022</v>
      </c>
      <c r="C965" s="10" t="s">
        <v>4023</v>
      </c>
      <c r="D965" s="10" t="s">
        <v>4023</v>
      </c>
      <c r="E965" s="10" t="s">
        <v>4024</v>
      </c>
      <c r="F965" s="10" t="s">
        <v>54</v>
      </c>
      <c r="G965" s="10" t="s">
        <v>49</v>
      </c>
      <c r="H965" s="10" t="s">
        <v>23</v>
      </c>
      <c r="I965" s="10" t="str">
        <f>HYPERLINK("http://www.guardolificioalex.net/","www.guardolificioalex.net")</f>
        <v>www.guardolificioalex.net</v>
      </c>
      <c r="J965" s="12">
        <v>609.58500000000004</v>
      </c>
      <c r="K965" s="12">
        <v>609.58500000000004</v>
      </c>
      <c r="L965" s="12">
        <v>650.678</v>
      </c>
      <c r="M965" s="12">
        <v>-39.023000000000003</v>
      </c>
      <c r="N965" s="12">
        <v>-39.023000000000003</v>
      </c>
      <c r="O965" s="12">
        <v>-41.896000000000001</v>
      </c>
      <c r="P965" s="12">
        <v>8</v>
      </c>
      <c r="Q965" s="12">
        <v>8</v>
      </c>
      <c r="R965" s="12">
        <v>7</v>
      </c>
    </row>
    <row r="966" spans="1:18" ht="17" customHeight="1" x14ac:dyDescent="0.2">
      <c r="A966" s="5" t="s">
        <v>4025</v>
      </c>
      <c r="B966" s="6" t="s">
        <v>4026</v>
      </c>
      <c r="C966" s="5" t="s">
        <v>4027</v>
      </c>
      <c r="D966" s="5" t="s">
        <v>4027</v>
      </c>
      <c r="E966" s="5" t="s">
        <v>4028</v>
      </c>
      <c r="F966" s="5" t="s">
        <v>21</v>
      </c>
      <c r="G966" s="5" t="s">
        <v>79</v>
      </c>
      <c r="H966" s="5" t="s">
        <v>56</v>
      </c>
      <c r="I966" s="5" t="str">
        <f>HYPERLINK("http://lagoaworld.com/","lagoaworld.com")</f>
        <v>lagoaworld.com</v>
      </c>
      <c r="J966" s="7">
        <v>864.50900000000001</v>
      </c>
      <c r="K966" s="7">
        <v>864.50900000000001</v>
      </c>
      <c r="L966" s="8">
        <v>649.79200000000003</v>
      </c>
      <c r="M966" s="7">
        <v>22.369</v>
      </c>
      <c r="N966" s="7">
        <v>22.369</v>
      </c>
      <c r="O966" s="7">
        <v>2.4390000000000001</v>
      </c>
      <c r="P966" s="9" t="s">
        <v>24</v>
      </c>
      <c r="Q966" s="9" t="s">
        <v>24</v>
      </c>
      <c r="R966" s="7">
        <v>3</v>
      </c>
    </row>
    <row r="967" spans="1:18" ht="17" customHeight="1" x14ac:dyDescent="0.2">
      <c r="A967" s="10" t="s">
        <v>4029</v>
      </c>
      <c r="B967" s="11" t="s">
        <v>4030</v>
      </c>
      <c r="C967" s="10" t="s">
        <v>4031</v>
      </c>
      <c r="D967" s="10" t="s">
        <v>4031</v>
      </c>
      <c r="E967" s="10" t="s">
        <v>4032</v>
      </c>
      <c r="F967" s="10" t="s">
        <v>99</v>
      </c>
      <c r="G967" s="10" t="s">
        <v>100</v>
      </c>
      <c r="H967" s="10" t="s">
        <v>62</v>
      </c>
      <c r="I967" s="10" t="str">
        <f>HYPERLINK("http://tissquad.com/","tissquad.com")</f>
        <v>tissquad.com</v>
      </c>
      <c r="J967" s="12">
        <v>835.048</v>
      </c>
      <c r="K967" s="12">
        <v>835.048</v>
      </c>
      <c r="L967" s="12">
        <v>649.01499999999999</v>
      </c>
      <c r="M967" s="12">
        <v>44.808999999999997</v>
      </c>
      <c r="N967" s="12">
        <v>44.808999999999997</v>
      </c>
      <c r="O967" s="12">
        <v>53.52</v>
      </c>
      <c r="P967" s="13" t="s">
        <v>24</v>
      </c>
      <c r="Q967" s="13" t="s">
        <v>24</v>
      </c>
      <c r="R967" s="12">
        <v>8</v>
      </c>
    </row>
    <row r="968" spans="1:18" ht="17" customHeight="1" x14ac:dyDescent="0.2">
      <c r="A968" s="5" t="s">
        <v>4033</v>
      </c>
      <c r="B968" s="6" t="s">
        <v>4034</v>
      </c>
      <c r="C968" s="5" t="s">
        <v>4035</v>
      </c>
      <c r="D968" s="5" t="s">
        <v>4035</v>
      </c>
      <c r="E968" s="5" t="s">
        <v>4036</v>
      </c>
      <c r="F968" s="5" t="s">
        <v>367</v>
      </c>
      <c r="G968" s="5" t="s">
        <v>2957</v>
      </c>
      <c r="H968" s="5" t="s">
        <v>121</v>
      </c>
      <c r="I968" s="5" t="str">
        <f>HYPERLINK("http://abiti-da-lavoro.com/","abiti-da-lavoro.com")</f>
        <v>abiti-da-lavoro.com</v>
      </c>
      <c r="J968" s="7">
        <v>627.25800000000004</v>
      </c>
      <c r="K968" s="7">
        <v>627.25800000000004</v>
      </c>
      <c r="L968" s="8">
        <v>648.95899999999995</v>
      </c>
      <c r="M968" s="7">
        <v>10.585000000000001</v>
      </c>
      <c r="N968" s="7">
        <v>10.585000000000001</v>
      </c>
      <c r="O968" s="7">
        <v>1.1180000000000001</v>
      </c>
      <c r="P968" s="7">
        <v>1</v>
      </c>
      <c r="Q968" s="7">
        <v>1</v>
      </c>
      <c r="R968" s="7">
        <v>3</v>
      </c>
    </row>
    <row r="969" spans="1:18" ht="17" customHeight="1" x14ac:dyDescent="0.2">
      <c r="A969" s="10" t="s">
        <v>4037</v>
      </c>
      <c r="B969" s="11" t="s">
        <v>4038</v>
      </c>
      <c r="C969" s="10" t="s">
        <v>4039</v>
      </c>
      <c r="D969" s="10" t="s">
        <v>4039</v>
      </c>
      <c r="E969" s="10" t="s">
        <v>4040</v>
      </c>
      <c r="F969" s="10" t="s">
        <v>48</v>
      </c>
      <c r="G969" s="10" t="s">
        <v>89</v>
      </c>
      <c r="H969" s="10" t="s">
        <v>56</v>
      </c>
      <c r="I969" s="10" t="str">
        <f>HYPERLINK("http://majolab.com/","majolab.com")</f>
        <v>majolab.com</v>
      </c>
      <c r="J969" s="12">
        <v>586.26199999999994</v>
      </c>
      <c r="K969" s="12">
        <v>586.26199999999994</v>
      </c>
      <c r="L969" s="12">
        <v>648.89400000000001</v>
      </c>
      <c r="M969" s="12">
        <v>4.4130000000000003</v>
      </c>
      <c r="N969" s="12">
        <v>4.4130000000000003</v>
      </c>
      <c r="O969" s="12">
        <v>3.431</v>
      </c>
      <c r="P969" s="12">
        <v>4</v>
      </c>
      <c r="Q969" s="12">
        <v>4</v>
      </c>
      <c r="R969" s="12">
        <v>4</v>
      </c>
    </row>
    <row r="970" spans="1:18" ht="17" customHeight="1" x14ac:dyDescent="0.2">
      <c r="A970" s="5" t="s">
        <v>4041</v>
      </c>
      <c r="B970" s="6" t="s">
        <v>4042</v>
      </c>
      <c r="C970" s="5" t="s">
        <v>4043</v>
      </c>
      <c r="D970" s="5" t="s">
        <v>4043</v>
      </c>
      <c r="E970" s="5" t="s">
        <v>4044</v>
      </c>
      <c r="F970" s="5" t="s">
        <v>114</v>
      </c>
      <c r="G970" s="5" t="s">
        <v>36</v>
      </c>
      <c r="H970" s="5" t="s">
        <v>23</v>
      </c>
      <c r="I970" s="5" t="str">
        <f>HYPERLINK("http://www.bestdrel.it/","www.bestdrel.it")</f>
        <v>www.bestdrel.it</v>
      </c>
      <c r="J970" s="7">
        <v>660.678</v>
      </c>
      <c r="K970" s="7">
        <v>660.678</v>
      </c>
      <c r="L970" s="8">
        <v>648.65700000000004</v>
      </c>
      <c r="M970" s="7">
        <v>-18.940000000000001</v>
      </c>
      <c r="N970" s="7">
        <v>-18.940000000000001</v>
      </c>
      <c r="O970" s="7">
        <v>46.884</v>
      </c>
      <c r="P970" s="9" t="s">
        <v>24</v>
      </c>
      <c r="Q970" s="9" t="s">
        <v>24</v>
      </c>
      <c r="R970" s="7">
        <v>13</v>
      </c>
    </row>
    <row r="971" spans="1:18" ht="17" customHeight="1" x14ac:dyDescent="0.2">
      <c r="A971" s="10" t="s">
        <v>4045</v>
      </c>
      <c r="B971" s="11" t="s">
        <v>4046</v>
      </c>
      <c r="C971" s="10" t="s">
        <v>4047</v>
      </c>
      <c r="D971" s="10" t="s">
        <v>4047</v>
      </c>
      <c r="E971" s="10" t="s">
        <v>4048</v>
      </c>
      <c r="F971" s="10" t="s">
        <v>21</v>
      </c>
      <c r="G971" s="10" t="s">
        <v>140</v>
      </c>
      <c r="H971" s="10" t="s">
        <v>43</v>
      </c>
      <c r="I971" s="10" t="str">
        <f>HYPERLINK("http://www.montelloshop.com/","www.montelloshop.com")</f>
        <v>www.montelloshop.com</v>
      </c>
      <c r="J971" s="12">
        <v>654.745</v>
      </c>
      <c r="K971" s="12">
        <v>654.745</v>
      </c>
      <c r="L971" s="12">
        <v>645.01599999999996</v>
      </c>
      <c r="M971" s="12">
        <v>43.268999999999998</v>
      </c>
      <c r="N971" s="12">
        <v>43.268999999999998</v>
      </c>
      <c r="O971" s="12">
        <v>48.301000000000002</v>
      </c>
      <c r="P971" s="12">
        <v>9</v>
      </c>
      <c r="Q971" s="12">
        <v>9</v>
      </c>
      <c r="R971" s="12">
        <v>9</v>
      </c>
    </row>
    <row r="972" spans="1:18" ht="17" customHeight="1" x14ac:dyDescent="0.2">
      <c r="A972" s="5" t="s">
        <v>4049</v>
      </c>
      <c r="B972" s="6" t="s">
        <v>4050</v>
      </c>
      <c r="C972" s="5" t="s">
        <v>4051</v>
      </c>
      <c r="D972" s="5" t="s">
        <v>4051</v>
      </c>
      <c r="E972" s="5" t="s">
        <v>4052</v>
      </c>
      <c r="F972" s="5" t="s">
        <v>149</v>
      </c>
      <c r="G972" s="5" t="s">
        <v>2754</v>
      </c>
      <c r="H972" s="5" t="s">
        <v>74</v>
      </c>
      <c r="I972" s="5" t="str">
        <f>HYPERLINK("http://www.regasport.it/","www.regasport.it")</f>
        <v>www.regasport.it</v>
      </c>
      <c r="J972" s="7">
        <v>491.88099999999997</v>
      </c>
      <c r="K972" s="7">
        <v>491.88099999999997</v>
      </c>
      <c r="L972" s="8">
        <v>644.83500000000004</v>
      </c>
      <c r="M972" s="7">
        <v>19.658000000000001</v>
      </c>
      <c r="N972" s="7">
        <v>19.658000000000001</v>
      </c>
      <c r="O972" s="7">
        <v>41.109000000000002</v>
      </c>
      <c r="P972" s="7">
        <v>7</v>
      </c>
      <c r="Q972" s="7">
        <v>7</v>
      </c>
      <c r="R972" s="7">
        <v>7</v>
      </c>
    </row>
    <row r="973" spans="1:18" ht="17" customHeight="1" x14ac:dyDescent="0.2">
      <c r="A973" s="10" t="s">
        <v>4053</v>
      </c>
      <c r="B973" s="11" t="s">
        <v>4054</v>
      </c>
      <c r="C973" s="10" t="s">
        <v>4055</v>
      </c>
      <c r="D973" s="10" t="s">
        <v>4055</v>
      </c>
      <c r="E973" s="10" t="s">
        <v>4056</v>
      </c>
      <c r="F973" s="10" t="s">
        <v>114</v>
      </c>
      <c r="G973" s="10" t="s">
        <v>463</v>
      </c>
      <c r="H973" s="10" t="s">
        <v>31</v>
      </c>
      <c r="I973" s="10" t="str">
        <f>HYPERLINK("http://kamarpantaloni.com/","kamarpantaloni.com")</f>
        <v>kamarpantaloni.com</v>
      </c>
      <c r="J973" s="12">
        <v>730.93299999999999</v>
      </c>
      <c r="K973" s="12">
        <v>730.93299999999999</v>
      </c>
      <c r="L973" s="12">
        <v>644.40599999999995</v>
      </c>
      <c r="M973" s="12">
        <v>7.375</v>
      </c>
      <c r="N973" s="12">
        <v>7.375</v>
      </c>
      <c r="O973" s="12">
        <v>9.7590000000000003</v>
      </c>
      <c r="P973" s="13" t="s">
        <v>24</v>
      </c>
      <c r="Q973" s="13" t="s">
        <v>24</v>
      </c>
      <c r="R973" s="13" t="s">
        <v>24</v>
      </c>
    </row>
    <row r="974" spans="1:18" ht="29.5" customHeight="1" x14ac:dyDescent="0.2">
      <c r="A974" s="5" t="s">
        <v>4057</v>
      </c>
      <c r="B974" s="6" t="s">
        <v>4058</v>
      </c>
      <c r="C974" s="5" t="s">
        <v>4059</v>
      </c>
      <c r="D974" s="5" t="s">
        <v>4059</v>
      </c>
      <c r="E974" s="5" t="s">
        <v>4060</v>
      </c>
      <c r="F974" s="5" t="s">
        <v>181</v>
      </c>
      <c r="G974" s="5" t="s">
        <v>234</v>
      </c>
      <c r="H974" s="5" t="s">
        <v>23</v>
      </c>
      <c r="I974" s="5" t="str">
        <f>HYPERLINK("http://www.confezionicricket.it/","www.confezionicricket.it")</f>
        <v>www.confezionicricket.it</v>
      </c>
      <c r="J974" s="7">
        <v>506.10199999999998</v>
      </c>
      <c r="K974" s="7">
        <v>506.10199999999998</v>
      </c>
      <c r="L974" s="8">
        <v>644.17399999999998</v>
      </c>
      <c r="M974" s="7">
        <v>-19.965</v>
      </c>
      <c r="N974" s="7">
        <v>-19.965</v>
      </c>
      <c r="O974" s="7">
        <v>6.2089999999999996</v>
      </c>
      <c r="P974" s="7">
        <v>3</v>
      </c>
      <c r="Q974" s="7">
        <v>3</v>
      </c>
      <c r="R974" s="7">
        <v>3</v>
      </c>
    </row>
    <row r="975" spans="1:18" ht="43" customHeight="1" x14ac:dyDescent="0.2">
      <c r="A975" s="10" t="s">
        <v>4061</v>
      </c>
      <c r="B975" s="11" t="s">
        <v>4062</v>
      </c>
      <c r="C975" s="10" t="s">
        <v>4063</v>
      </c>
      <c r="D975" s="10" t="s">
        <v>4063</v>
      </c>
      <c r="E975" s="10" t="s">
        <v>4064</v>
      </c>
      <c r="F975" s="10" t="s">
        <v>21</v>
      </c>
      <c r="G975" s="10" t="s">
        <v>79</v>
      </c>
      <c r="H975" s="10" t="s">
        <v>56</v>
      </c>
      <c r="I975" s="10" t="str">
        <f>HYPERLINK("http://calzaturificiolorenzo.it/","calzaturificiolorenzo.it")</f>
        <v>calzaturificiolorenzo.it</v>
      </c>
      <c r="J975" s="12">
        <v>643.66099999999994</v>
      </c>
      <c r="K975" s="13" t="s">
        <v>24</v>
      </c>
      <c r="L975" s="12">
        <v>643.66099999999994</v>
      </c>
      <c r="M975" s="12">
        <v>0.71799999999999997</v>
      </c>
      <c r="N975" s="13" t="s">
        <v>24</v>
      </c>
      <c r="O975" s="12">
        <v>0.71799999999999997</v>
      </c>
      <c r="P975" s="12">
        <v>4</v>
      </c>
      <c r="Q975" s="13" t="s">
        <v>24</v>
      </c>
      <c r="R975" s="12">
        <v>4</v>
      </c>
    </row>
    <row r="976" spans="1:18" ht="29.5" customHeight="1" x14ac:dyDescent="0.2">
      <c r="A976" s="5" t="s">
        <v>4065</v>
      </c>
      <c r="B976" s="6" t="s">
        <v>4066</v>
      </c>
      <c r="C976" s="5" t="s">
        <v>4067</v>
      </c>
      <c r="D976" s="5" t="s">
        <v>4067</v>
      </c>
      <c r="E976" s="5" t="s">
        <v>4068</v>
      </c>
      <c r="F976" s="5" t="s">
        <v>114</v>
      </c>
      <c r="G976" s="5" t="s">
        <v>115</v>
      </c>
      <c r="H976" s="5" t="s">
        <v>43</v>
      </c>
      <c r="I976" s="5" t="str">
        <f>HYPERLINK("http://si-energy.it/","si-energy.it")</f>
        <v>si-energy.it</v>
      </c>
      <c r="J976" s="7">
        <v>577.66200000000003</v>
      </c>
      <c r="K976" s="7">
        <v>577.66200000000003</v>
      </c>
      <c r="L976" s="8">
        <v>643.62199999999996</v>
      </c>
      <c r="M976" s="7">
        <v>70.388999999999996</v>
      </c>
      <c r="N976" s="7">
        <v>70.388999999999996</v>
      </c>
      <c r="O976" s="7">
        <v>-1.875</v>
      </c>
      <c r="P976" s="7">
        <v>7</v>
      </c>
      <c r="Q976" s="7">
        <v>7</v>
      </c>
      <c r="R976" s="7">
        <v>8</v>
      </c>
    </row>
    <row r="977" spans="1:18" ht="17" customHeight="1" x14ac:dyDescent="0.2">
      <c r="A977" s="10" t="s">
        <v>4069</v>
      </c>
      <c r="B977" s="11" t="s">
        <v>4070</v>
      </c>
      <c r="C977" s="10" t="s">
        <v>4071</v>
      </c>
      <c r="D977" s="10" t="s">
        <v>4071</v>
      </c>
      <c r="E977" s="10" t="s">
        <v>4072</v>
      </c>
      <c r="F977" s="10" t="s">
        <v>181</v>
      </c>
      <c r="G977" s="10" t="s">
        <v>115</v>
      </c>
      <c r="H977" s="10" t="s">
        <v>43</v>
      </c>
      <c r="I977" s="10" t="str">
        <f>HYPERLINK("http://www.maglificiocristiana.it/","www.maglificiocristiana.it")</f>
        <v>www.maglificiocristiana.it</v>
      </c>
      <c r="J977" s="12">
        <v>717.59</v>
      </c>
      <c r="K977" s="12">
        <v>717.59</v>
      </c>
      <c r="L977" s="12">
        <v>643.19799999999998</v>
      </c>
      <c r="M977" s="12">
        <v>4.7590000000000003</v>
      </c>
      <c r="N977" s="12">
        <v>4.7590000000000003</v>
      </c>
      <c r="O977" s="12">
        <v>16.462</v>
      </c>
      <c r="P977" s="12">
        <v>9</v>
      </c>
      <c r="Q977" s="12">
        <v>9</v>
      </c>
      <c r="R977" s="12">
        <v>9</v>
      </c>
    </row>
    <row r="978" spans="1:18" ht="17" customHeight="1" x14ac:dyDescent="0.2">
      <c r="A978" s="5" t="s">
        <v>4073</v>
      </c>
      <c r="B978" s="6" t="s">
        <v>4074</v>
      </c>
      <c r="C978" s="5" t="s">
        <v>4075</v>
      </c>
      <c r="D978" s="5" t="s">
        <v>4075</v>
      </c>
      <c r="E978" s="5" t="s">
        <v>4076</v>
      </c>
      <c r="F978" s="5" t="s">
        <v>21</v>
      </c>
      <c r="G978" s="5" t="s">
        <v>229</v>
      </c>
      <c r="H978" s="5" t="s">
        <v>31</v>
      </c>
      <c r="I978" s="5" t="str">
        <f>HYPERLINK("http://www.ncub.it/","www.ncub.it")</f>
        <v>www.ncub.it</v>
      </c>
      <c r="J978" s="7">
        <v>643.08600000000001</v>
      </c>
      <c r="K978" s="9" t="s">
        <v>24</v>
      </c>
      <c r="L978" s="8">
        <v>643.08600000000001</v>
      </c>
      <c r="M978" s="7">
        <v>16.274999999999999</v>
      </c>
      <c r="N978" s="9" t="s">
        <v>24</v>
      </c>
      <c r="O978" s="7">
        <v>16.274999999999999</v>
      </c>
      <c r="P978" s="7">
        <v>12</v>
      </c>
      <c r="Q978" s="9" t="s">
        <v>24</v>
      </c>
      <c r="R978" s="7">
        <v>12</v>
      </c>
    </row>
    <row r="979" spans="1:18" ht="17" customHeight="1" x14ac:dyDescent="0.2">
      <c r="A979" s="10" t="s">
        <v>4077</v>
      </c>
      <c r="B979" s="11" t="s">
        <v>4078</v>
      </c>
      <c r="C979" s="10" t="s">
        <v>4079</v>
      </c>
      <c r="D979" s="10" t="s">
        <v>4079</v>
      </c>
      <c r="E979" s="10" t="s">
        <v>4080</v>
      </c>
      <c r="F979" s="10" t="s">
        <v>114</v>
      </c>
      <c r="G979" s="10" t="s">
        <v>73</v>
      </c>
      <c r="H979" s="10" t="s">
        <v>74</v>
      </c>
      <c r="I979" s="10" t="str">
        <f>HYPERLINK("http://www.r-evenge.com/","www.r-evenge.com")</f>
        <v>www.r-evenge.com</v>
      </c>
      <c r="J979" s="12">
        <v>1813.2460000000001</v>
      </c>
      <c r="K979" s="12">
        <v>733.63699999999994</v>
      </c>
      <c r="L979" s="12">
        <v>642.38599999999997</v>
      </c>
      <c r="M979" s="12">
        <v>113.851</v>
      </c>
      <c r="N979" s="12">
        <v>4.0270000000000001</v>
      </c>
      <c r="O979" s="12">
        <v>-18.783000000000001</v>
      </c>
      <c r="P979" s="12">
        <v>1</v>
      </c>
      <c r="Q979" s="12">
        <v>2</v>
      </c>
      <c r="R979" s="12">
        <v>2</v>
      </c>
    </row>
    <row r="980" spans="1:18" ht="17" customHeight="1" x14ac:dyDescent="0.2">
      <c r="A980" s="5" t="s">
        <v>4081</v>
      </c>
      <c r="B980" s="6" t="s">
        <v>4082</v>
      </c>
      <c r="C980" s="5" t="s">
        <v>4083</v>
      </c>
      <c r="D980" s="5" t="s">
        <v>4083</v>
      </c>
      <c r="E980" s="5" t="s">
        <v>4084</v>
      </c>
      <c r="F980" s="5" t="s">
        <v>48</v>
      </c>
      <c r="G980" s="5" t="s">
        <v>381</v>
      </c>
      <c r="H980" s="5" t="s">
        <v>23</v>
      </c>
      <c r="I980" s="5" t="str">
        <f>HYPERLINK("http://www.fabianicinture.net/","www.fabianicinture.net")</f>
        <v>www.fabianicinture.net</v>
      </c>
      <c r="J980" s="7">
        <v>242.12899999999999</v>
      </c>
      <c r="K980" s="7">
        <v>242.12899999999999</v>
      </c>
      <c r="L980" s="8">
        <v>640.601</v>
      </c>
      <c r="M980" s="7">
        <v>-52.113</v>
      </c>
      <c r="N980" s="7">
        <v>-52.113</v>
      </c>
      <c r="O980" s="7">
        <v>-17.812000000000001</v>
      </c>
      <c r="P980" s="9" t="s">
        <v>24</v>
      </c>
      <c r="Q980" s="9" t="s">
        <v>24</v>
      </c>
      <c r="R980" s="7">
        <v>17</v>
      </c>
    </row>
    <row r="981" spans="1:18" ht="17" customHeight="1" x14ac:dyDescent="0.2">
      <c r="A981" s="10" t="s">
        <v>4085</v>
      </c>
      <c r="B981" s="11" t="s">
        <v>4086</v>
      </c>
      <c r="C981" s="10" t="s">
        <v>4087</v>
      </c>
      <c r="D981" s="10" t="s">
        <v>4087</v>
      </c>
      <c r="E981" s="10" t="s">
        <v>4088</v>
      </c>
      <c r="F981" s="10" t="s">
        <v>54</v>
      </c>
      <c r="G981" s="10" t="s">
        <v>79</v>
      </c>
      <c r="H981" s="10" t="s">
        <v>56</v>
      </c>
      <c r="I981" s="10" t="str">
        <f>HYPERLINK("http://www.italianheels.it/","www.italianheels.it")</f>
        <v>www.italianheels.it</v>
      </c>
      <c r="J981" s="12">
        <v>717.55799999999999</v>
      </c>
      <c r="K981" s="12">
        <v>717.55799999999999</v>
      </c>
      <c r="L981" s="12">
        <v>640.07899999999995</v>
      </c>
      <c r="M981" s="12">
        <v>21.273</v>
      </c>
      <c r="N981" s="12">
        <v>21.273</v>
      </c>
      <c r="O981" s="12">
        <v>27.736000000000001</v>
      </c>
      <c r="P981" s="13" t="s">
        <v>24</v>
      </c>
      <c r="Q981" s="13" t="s">
        <v>24</v>
      </c>
      <c r="R981" s="12">
        <v>12</v>
      </c>
    </row>
    <row r="982" spans="1:18" ht="17" customHeight="1" x14ac:dyDescent="0.2">
      <c r="A982" s="5" t="s">
        <v>4089</v>
      </c>
      <c r="B982" s="6" t="s">
        <v>4090</v>
      </c>
      <c r="C982" s="5" t="s">
        <v>4091</v>
      </c>
      <c r="D982" s="5" t="s">
        <v>4091</v>
      </c>
      <c r="E982" s="5" t="s">
        <v>4092</v>
      </c>
      <c r="F982" s="5" t="s">
        <v>114</v>
      </c>
      <c r="G982" s="5" t="s">
        <v>42</v>
      </c>
      <c r="H982" s="5" t="s">
        <v>43</v>
      </c>
      <c r="I982" s="5" t="str">
        <f>HYPERLINK("http://www.babycross.com/","www.babycross.com")</f>
        <v>www.babycross.com</v>
      </c>
      <c r="J982" s="7">
        <v>638.71500000000003</v>
      </c>
      <c r="K982" s="9" t="s">
        <v>24</v>
      </c>
      <c r="L982" s="8">
        <v>638.71500000000003</v>
      </c>
      <c r="M982" s="7">
        <v>-356.96</v>
      </c>
      <c r="N982" s="9" t="s">
        <v>24</v>
      </c>
      <c r="O982" s="7">
        <v>-356.96</v>
      </c>
      <c r="P982" s="7">
        <v>6</v>
      </c>
      <c r="Q982" s="9" t="s">
        <v>24</v>
      </c>
      <c r="R982" s="7">
        <v>6</v>
      </c>
    </row>
    <row r="983" spans="1:18" ht="17" customHeight="1" x14ac:dyDescent="0.2">
      <c r="A983" s="10" t="s">
        <v>4093</v>
      </c>
      <c r="B983" s="11" t="s">
        <v>4094</v>
      </c>
      <c r="C983" s="10" t="s">
        <v>4095</v>
      </c>
      <c r="D983" s="10" t="s">
        <v>4095</v>
      </c>
      <c r="E983" s="10" t="s">
        <v>4096</v>
      </c>
      <c r="F983" s="10" t="s">
        <v>325</v>
      </c>
      <c r="G983" s="10" t="s">
        <v>2577</v>
      </c>
      <c r="H983" s="10" t="s">
        <v>121</v>
      </c>
      <c r="I983" s="10" t="str">
        <f>HYPERLINK("http://www.yanga.it/","www.yanga.it")</f>
        <v>www.yanga.it</v>
      </c>
      <c r="J983" s="12">
        <v>784.56600000000003</v>
      </c>
      <c r="K983" s="12">
        <v>784.56600000000003</v>
      </c>
      <c r="L983" s="12">
        <v>638.58600000000001</v>
      </c>
      <c r="M983" s="12">
        <v>110.59699999999999</v>
      </c>
      <c r="N983" s="12">
        <v>110.59699999999999</v>
      </c>
      <c r="O983" s="12">
        <v>60.969000000000001</v>
      </c>
      <c r="P983" s="12">
        <v>7</v>
      </c>
      <c r="Q983" s="12">
        <v>7</v>
      </c>
      <c r="R983" s="12">
        <v>6</v>
      </c>
    </row>
    <row r="984" spans="1:18" ht="17" customHeight="1" x14ac:dyDescent="0.2">
      <c r="A984" s="5" t="s">
        <v>4097</v>
      </c>
      <c r="B984" s="6" t="s">
        <v>4098</v>
      </c>
      <c r="C984" s="5" t="s">
        <v>4099</v>
      </c>
      <c r="D984" s="5" t="s">
        <v>4099</v>
      </c>
      <c r="E984" s="5" t="s">
        <v>4100</v>
      </c>
      <c r="F984" s="5" t="s">
        <v>21</v>
      </c>
      <c r="G984" s="5" t="s">
        <v>100</v>
      </c>
      <c r="H984" s="5" t="s">
        <v>62</v>
      </c>
      <c r="I984" s="5" t="str">
        <f>HYPERLINK("http://www.tiffi.it/","www.tiffi.it")</f>
        <v>www.tiffi.it</v>
      </c>
      <c r="J984" s="7">
        <v>654.23400000000004</v>
      </c>
      <c r="K984" s="7">
        <v>654.23400000000004</v>
      </c>
      <c r="L984" s="8">
        <v>637.88900000000001</v>
      </c>
      <c r="M984" s="7">
        <v>-29.86</v>
      </c>
      <c r="N984" s="7">
        <v>-29.86</v>
      </c>
      <c r="O984" s="7">
        <v>-25.541</v>
      </c>
      <c r="P984" s="7">
        <v>9</v>
      </c>
      <c r="Q984" s="7">
        <v>9</v>
      </c>
      <c r="R984" s="7">
        <v>13</v>
      </c>
    </row>
    <row r="985" spans="1:18" ht="17" customHeight="1" x14ac:dyDescent="0.2">
      <c r="A985" s="10" t="s">
        <v>4101</v>
      </c>
      <c r="B985" s="11" t="s">
        <v>4102</v>
      </c>
      <c r="C985" s="10" t="s">
        <v>4103</v>
      </c>
      <c r="D985" s="10" t="s">
        <v>4103</v>
      </c>
      <c r="E985" s="10" t="s">
        <v>4104</v>
      </c>
      <c r="F985" s="10" t="s">
        <v>99</v>
      </c>
      <c r="G985" s="10" t="s">
        <v>49</v>
      </c>
      <c r="H985" s="10" t="s">
        <v>23</v>
      </c>
      <c r="I985" s="10" t="str">
        <f>HYPERLINK("http://garrett-grt.com/","garrett-grt.com")</f>
        <v>garrett-grt.com</v>
      </c>
      <c r="J985" s="12">
        <v>940.46199999999999</v>
      </c>
      <c r="K985" s="12">
        <v>940.46199999999999</v>
      </c>
      <c r="L985" s="12">
        <v>637.452</v>
      </c>
      <c r="M985" s="12">
        <v>41.604999999999997</v>
      </c>
      <c r="N985" s="12">
        <v>41.604999999999997</v>
      </c>
      <c r="O985" s="12">
        <v>-45.567999999999998</v>
      </c>
      <c r="P985" s="13" t="s">
        <v>24</v>
      </c>
      <c r="Q985" s="13" t="s">
        <v>24</v>
      </c>
      <c r="R985" s="12">
        <v>2</v>
      </c>
    </row>
    <row r="986" spans="1:18" ht="17" customHeight="1" x14ac:dyDescent="0.2">
      <c r="A986" s="5" t="s">
        <v>4105</v>
      </c>
      <c r="B986" s="6" t="s">
        <v>4106</v>
      </c>
      <c r="C986" s="5" t="s">
        <v>4107</v>
      </c>
      <c r="D986" s="5" t="s">
        <v>4107</v>
      </c>
      <c r="E986" s="5" t="s">
        <v>4108</v>
      </c>
      <c r="F986" s="5" t="s">
        <v>181</v>
      </c>
      <c r="G986" s="5" t="s">
        <v>176</v>
      </c>
      <c r="H986" s="5" t="s">
        <v>56</v>
      </c>
      <c r="I986" s="5" t="str">
        <f>HYPERLINK("http://www.maglieria-spendolini.com/","www.maglieria-spendolini.com")</f>
        <v>www.maglieria-spendolini.com</v>
      </c>
      <c r="J986" s="7">
        <v>769.78499999999997</v>
      </c>
      <c r="K986" s="7">
        <v>769.78499999999997</v>
      </c>
      <c r="L986" s="8">
        <v>637.41</v>
      </c>
      <c r="M986" s="7">
        <v>47.226999999999997</v>
      </c>
      <c r="N986" s="7">
        <v>47.226999999999997</v>
      </c>
      <c r="O986" s="7">
        <v>-8.4499999999999993</v>
      </c>
      <c r="P986" s="7">
        <v>14</v>
      </c>
      <c r="Q986" s="7">
        <v>14</v>
      </c>
      <c r="R986" s="7">
        <v>16</v>
      </c>
    </row>
    <row r="987" spans="1:18" ht="17" customHeight="1" x14ac:dyDescent="0.2">
      <c r="A987" s="10" t="s">
        <v>4109</v>
      </c>
      <c r="B987" s="11" t="s">
        <v>4110</v>
      </c>
      <c r="C987" s="10" t="s">
        <v>4111</v>
      </c>
      <c r="D987" s="10" t="s">
        <v>4111</v>
      </c>
      <c r="E987" s="10" t="s">
        <v>4112</v>
      </c>
      <c r="F987" s="10" t="s">
        <v>105</v>
      </c>
      <c r="G987" s="10" t="s">
        <v>158</v>
      </c>
      <c r="H987" s="10" t="s">
        <v>159</v>
      </c>
      <c r="I987" s="10" t="str">
        <f>HYPERLINK("http://www.claudiocutuli.com/","www.claudiocutuli.com")</f>
        <v>www.claudiocutuli.com</v>
      </c>
      <c r="J987" s="12">
        <v>636.96100000000001</v>
      </c>
      <c r="K987" s="13" t="s">
        <v>24</v>
      </c>
      <c r="L987" s="12">
        <v>636.96100000000001</v>
      </c>
      <c r="M987" s="12">
        <v>3.1930000000000001</v>
      </c>
      <c r="N987" s="13" t="s">
        <v>24</v>
      </c>
      <c r="O987" s="12">
        <v>3.1930000000000001</v>
      </c>
      <c r="P987" s="12">
        <v>6</v>
      </c>
      <c r="Q987" s="13" t="s">
        <v>24</v>
      </c>
      <c r="R987" s="12">
        <v>6</v>
      </c>
    </row>
    <row r="988" spans="1:18" ht="29.5" customHeight="1" x14ac:dyDescent="0.2">
      <c r="A988" s="5" t="s">
        <v>4113</v>
      </c>
      <c r="B988" s="6" t="s">
        <v>4114</v>
      </c>
      <c r="C988" s="5" t="s">
        <v>4115</v>
      </c>
      <c r="D988" s="5" t="s">
        <v>4115</v>
      </c>
      <c r="E988" s="5" t="s">
        <v>4116</v>
      </c>
      <c r="F988" s="5" t="s">
        <v>860</v>
      </c>
      <c r="G988" s="5" t="s">
        <v>49</v>
      </c>
      <c r="H988" s="5" t="s">
        <v>23</v>
      </c>
      <c r="I988" s="5" t="str">
        <f>HYPERLINK("http://www.pellicceriacastellani.it/","www.pellicceriacastellani.it")</f>
        <v>www.pellicceriacastellani.it</v>
      </c>
      <c r="J988" s="7">
        <v>540.50099999999998</v>
      </c>
      <c r="K988" s="7">
        <v>540.50099999999998</v>
      </c>
      <c r="L988" s="8">
        <v>635.53399999999999</v>
      </c>
      <c r="M988" s="7">
        <v>18.568000000000001</v>
      </c>
      <c r="N988" s="7">
        <v>18.568000000000001</v>
      </c>
      <c r="O988" s="7">
        <v>23.513000000000002</v>
      </c>
      <c r="P988" s="7">
        <v>4</v>
      </c>
      <c r="Q988" s="7">
        <v>4</v>
      </c>
      <c r="R988" s="7">
        <v>7</v>
      </c>
    </row>
    <row r="989" spans="1:18" ht="17" customHeight="1" x14ac:dyDescent="0.2">
      <c r="A989" s="10" t="s">
        <v>4117</v>
      </c>
      <c r="B989" s="11" t="s">
        <v>4118</v>
      </c>
      <c r="C989" s="10" t="s">
        <v>4119</v>
      </c>
      <c r="D989" s="10" t="s">
        <v>4119</v>
      </c>
      <c r="E989" s="10" t="s">
        <v>4120</v>
      </c>
      <c r="F989" s="10" t="s">
        <v>114</v>
      </c>
      <c r="G989" s="10" t="s">
        <v>100</v>
      </c>
      <c r="H989" s="10" t="s">
        <v>62</v>
      </c>
      <c r="I989" s="10" t="str">
        <f>HYPERLINK("http://www.les-etoiles.it/","www.les-etoiles.it")</f>
        <v>www.les-etoiles.it</v>
      </c>
      <c r="J989" s="12">
        <v>634.58500000000004</v>
      </c>
      <c r="K989" s="13" t="s">
        <v>24</v>
      </c>
      <c r="L989" s="12">
        <v>634.58500000000004</v>
      </c>
      <c r="M989" s="12">
        <v>-2.706</v>
      </c>
      <c r="N989" s="13" t="s">
        <v>24</v>
      </c>
      <c r="O989" s="12">
        <v>-2.706</v>
      </c>
      <c r="P989" s="12">
        <v>6</v>
      </c>
      <c r="Q989" s="13" t="s">
        <v>24</v>
      </c>
      <c r="R989" s="12">
        <v>6</v>
      </c>
    </row>
    <row r="990" spans="1:18" ht="17" customHeight="1" x14ac:dyDescent="0.2">
      <c r="A990" s="5" t="s">
        <v>4121</v>
      </c>
      <c r="B990" s="6" t="s">
        <v>4122</v>
      </c>
      <c r="C990" s="5" t="s">
        <v>4123</v>
      </c>
      <c r="D990" s="5" t="s">
        <v>4123</v>
      </c>
      <c r="E990" s="5" t="s">
        <v>4124</v>
      </c>
      <c r="F990" s="5" t="s">
        <v>376</v>
      </c>
      <c r="G990" s="5" t="s">
        <v>158</v>
      </c>
      <c r="H990" s="5" t="s">
        <v>159</v>
      </c>
      <c r="I990" s="5" t="str">
        <f>HYPERLINK("http://shop.nuovapr.it/","shop.nuovapr.it")</f>
        <v>shop.nuovapr.it</v>
      </c>
      <c r="J990" s="7">
        <v>576.91800000000001</v>
      </c>
      <c r="K990" s="7">
        <v>576.91800000000001</v>
      </c>
      <c r="L990" s="8">
        <v>634.51599999999996</v>
      </c>
      <c r="M990" s="7">
        <v>51.219000000000001</v>
      </c>
      <c r="N990" s="7">
        <v>51.219000000000001</v>
      </c>
      <c r="O990" s="7">
        <v>62.627000000000002</v>
      </c>
      <c r="P990" s="9" t="s">
        <v>24</v>
      </c>
      <c r="Q990" s="9" t="s">
        <v>24</v>
      </c>
      <c r="R990" s="7">
        <v>1</v>
      </c>
    </row>
    <row r="991" spans="1:18" ht="17" customHeight="1" x14ac:dyDescent="0.2">
      <c r="A991" s="10" t="s">
        <v>4125</v>
      </c>
      <c r="B991" s="11" t="s">
        <v>4126</v>
      </c>
      <c r="C991" s="10" t="s">
        <v>4127</v>
      </c>
      <c r="D991" s="10" t="s">
        <v>4127</v>
      </c>
      <c r="E991" s="10" t="s">
        <v>4128</v>
      </c>
      <c r="F991" s="10" t="s">
        <v>114</v>
      </c>
      <c r="G991" s="10" t="s">
        <v>94</v>
      </c>
      <c r="H991" s="10" t="s">
        <v>62</v>
      </c>
      <c r="I991" s="10" t="str">
        <f>HYPERLINK("http://www.magiamoda.it/","www.magiamoda.it")</f>
        <v>www.magiamoda.it</v>
      </c>
      <c r="J991" s="12">
        <v>617.78300000000002</v>
      </c>
      <c r="K991" s="12">
        <v>617.78300000000002</v>
      </c>
      <c r="L991" s="12">
        <v>633.53800000000001</v>
      </c>
      <c r="M991" s="12">
        <v>5.2889999999999997</v>
      </c>
      <c r="N991" s="12">
        <v>5.2889999999999997</v>
      </c>
      <c r="O991" s="12">
        <v>27.844999999999999</v>
      </c>
      <c r="P991" s="13" t="s">
        <v>24</v>
      </c>
      <c r="Q991" s="13" t="s">
        <v>24</v>
      </c>
      <c r="R991" s="12">
        <v>7</v>
      </c>
    </row>
    <row r="992" spans="1:18" ht="29.5" customHeight="1" x14ac:dyDescent="0.2">
      <c r="A992" s="5" t="s">
        <v>4129</v>
      </c>
      <c r="B992" s="6" t="s">
        <v>4130</v>
      </c>
      <c r="C992" s="5" t="s">
        <v>4131</v>
      </c>
      <c r="D992" s="5" t="s">
        <v>4131</v>
      </c>
      <c r="E992" s="5" t="s">
        <v>4132</v>
      </c>
      <c r="F992" s="5" t="s">
        <v>48</v>
      </c>
      <c r="G992" s="5" t="s">
        <v>100</v>
      </c>
      <c r="H992" s="5" t="s">
        <v>62</v>
      </c>
      <c r="I992" s="5" t="str">
        <f>HYPERLINK("http://www.officinabelts.com/","www.officinabelts.com")</f>
        <v>www.officinabelts.com</v>
      </c>
      <c r="J992" s="7">
        <v>552.10799999999995</v>
      </c>
      <c r="K992" s="7">
        <v>552.10799999999995</v>
      </c>
      <c r="L992" s="8">
        <v>633.29300000000001</v>
      </c>
      <c r="M992" s="7">
        <v>28.667999999999999</v>
      </c>
      <c r="N992" s="7">
        <v>28.667999999999999</v>
      </c>
      <c r="O992" s="7">
        <v>20.295000000000002</v>
      </c>
      <c r="P992" s="9" t="s">
        <v>24</v>
      </c>
      <c r="Q992" s="9" t="s">
        <v>24</v>
      </c>
      <c r="R992" s="7">
        <v>6</v>
      </c>
    </row>
    <row r="993" spans="1:18" ht="17" customHeight="1" x14ac:dyDescent="0.2">
      <c r="A993" s="10" t="s">
        <v>4133</v>
      </c>
      <c r="B993" s="11" t="s">
        <v>4134</v>
      </c>
      <c r="C993" s="10" t="s">
        <v>4135</v>
      </c>
      <c r="D993" s="10" t="s">
        <v>4135</v>
      </c>
      <c r="E993" s="10" t="s">
        <v>4136</v>
      </c>
      <c r="F993" s="10" t="s">
        <v>54</v>
      </c>
      <c r="G993" s="10" t="s">
        <v>89</v>
      </c>
      <c r="H993" s="10" t="s">
        <v>56</v>
      </c>
      <c r="I993" s="10" t="str">
        <f>HYPERLINK("http://www.runplast.it/","www.runplast.it")</f>
        <v>www.runplast.it</v>
      </c>
      <c r="J993" s="12">
        <v>620.15</v>
      </c>
      <c r="K993" s="12">
        <v>620.15</v>
      </c>
      <c r="L993" s="12">
        <v>632.45000000000005</v>
      </c>
      <c r="M993" s="12">
        <v>0.90700000000000003</v>
      </c>
      <c r="N993" s="12">
        <v>0.90700000000000003</v>
      </c>
      <c r="O993" s="12">
        <v>-53.168999999999997</v>
      </c>
      <c r="P993" s="12">
        <v>16</v>
      </c>
      <c r="Q993" s="12">
        <v>16</v>
      </c>
      <c r="R993" s="12">
        <v>19</v>
      </c>
    </row>
    <row r="994" spans="1:18" ht="17" customHeight="1" x14ac:dyDescent="0.2">
      <c r="A994" s="5" t="s">
        <v>4137</v>
      </c>
      <c r="B994" s="6" t="s">
        <v>4138</v>
      </c>
      <c r="C994" s="5" t="s">
        <v>4139</v>
      </c>
      <c r="D994" s="5" t="s">
        <v>4139</v>
      </c>
      <c r="E994" s="5" t="s">
        <v>4140</v>
      </c>
      <c r="F994" s="5" t="s">
        <v>134</v>
      </c>
      <c r="G994" s="5" t="s">
        <v>115</v>
      </c>
      <c r="H994" s="5" t="s">
        <v>43</v>
      </c>
      <c r="I994" s="5" t="str">
        <f>HYPERLINK("http://www.carrierisnc.it/","www.carrierisnc.it")</f>
        <v>www.carrierisnc.it</v>
      </c>
      <c r="J994" s="7">
        <v>601.63699999999994</v>
      </c>
      <c r="K994" s="7">
        <v>601.63699999999994</v>
      </c>
      <c r="L994" s="8">
        <v>632.21600000000001</v>
      </c>
      <c r="M994" s="7">
        <v>4.4870000000000001</v>
      </c>
      <c r="N994" s="7">
        <v>4.4870000000000001</v>
      </c>
      <c r="O994" s="7">
        <v>0.67800000000000005</v>
      </c>
      <c r="P994" s="7">
        <v>11</v>
      </c>
      <c r="Q994" s="7">
        <v>11</v>
      </c>
      <c r="R994" s="7">
        <v>12</v>
      </c>
    </row>
    <row r="995" spans="1:18" ht="17" customHeight="1" x14ac:dyDescent="0.2">
      <c r="A995" s="10" t="s">
        <v>4141</v>
      </c>
      <c r="B995" s="11" t="s">
        <v>4142</v>
      </c>
      <c r="C995" s="10" t="s">
        <v>4143</v>
      </c>
      <c r="D995" s="10" t="s">
        <v>4143</v>
      </c>
      <c r="E995" s="10" t="s">
        <v>4144</v>
      </c>
      <c r="F995" s="10" t="s">
        <v>29</v>
      </c>
      <c r="G995" s="10" t="s">
        <v>100</v>
      </c>
      <c r="H995" s="10" t="s">
        <v>62</v>
      </c>
      <c r="I995" s="10" t="str">
        <f>HYPERLINK("http://www.correalegloves.it/","www.correalegloves.it")</f>
        <v>www.correalegloves.it</v>
      </c>
      <c r="J995" s="12">
        <v>529.83500000000004</v>
      </c>
      <c r="K995" s="12">
        <v>529.83500000000004</v>
      </c>
      <c r="L995" s="12">
        <v>631.82899999999995</v>
      </c>
      <c r="M995" s="12">
        <v>14.012</v>
      </c>
      <c r="N995" s="12">
        <v>14.012</v>
      </c>
      <c r="O995" s="12">
        <v>22.565999999999999</v>
      </c>
      <c r="P995" s="12">
        <v>3</v>
      </c>
      <c r="Q995" s="12">
        <v>3</v>
      </c>
      <c r="R995" s="12">
        <v>3</v>
      </c>
    </row>
    <row r="996" spans="1:18" ht="17" customHeight="1" x14ac:dyDescent="0.2">
      <c r="A996" s="5" t="s">
        <v>4145</v>
      </c>
      <c r="B996" s="6" t="s">
        <v>4146</v>
      </c>
      <c r="C996" s="5" t="s">
        <v>4147</v>
      </c>
      <c r="D996" s="5" t="s">
        <v>4147</v>
      </c>
      <c r="E996" s="5" t="s">
        <v>4148</v>
      </c>
      <c r="F996" s="5" t="s">
        <v>21</v>
      </c>
      <c r="G996" s="5" t="s">
        <v>79</v>
      </c>
      <c r="H996" s="5" t="s">
        <v>56</v>
      </c>
      <c r="I996" s="5" t="str">
        <f>HYPERLINK("http://www.jffshoes.com/","www.jffshoes.com")</f>
        <v>www.jffshoes.com</v>
      </c>
      <c r="J996" s="7">
        <v>611.01700000000005</v>
      </c>
      <c r="K996" s="7">
        <v>611.01700000000005</v>
      </c>
      <c r="L996" s="8">
        <v>631.30100000000004</v>
      </c>
      <c r="M996" s="7">
        <v>0.86199999999999999</v>
      </c>
      <c r="N996" s="7">
        <v>0.86199999999999999</v>
      </c>
      <c r="O996" s="7">
        <v>3.57</v>
      </c>
      <c r="P996" s="9" t="s">
        <v>24</v>
      </c>
      <c r="Q996" s="9" t="s">
        <v>24</v>
      </c>
      <c r="R996" s="7">
        <v>6</v>
      </c>
    </row>
    <row r="997" spans="1:18" ht="17" customHeight="1" x14ac:dyDescent="0.2">
      <c r="A997" s="10" t="s">
        <v>4149</v>
      </c>
      <c r="B997" s="11" t="s">
        <v>4150</v>
      </c>
      <c r="C997" s="10" t="s">
        <v>4151</v>
      </c>
      <c r="D997" s="10" t="s">
        <v>4151</v>
      </c>
      <c r="E997" s="10" t="s">
        <v>4152</v>
      </c>
      <c r="F997" s="10" t="s">
        <v>105</v>
      </c>
      <c r="G997" s="10" t="s">
        <v>190</v>
      </c>
      <c r="H997" s="10" t="s">
        <v>74</v>
      </c>
      <c r="I997" s="10" t="str">
        <f>HYPERLINK("http://www.maglieriamm.it/","www.maglieriamm.it")</f>
        <v>www.maglieriamm.it</v>
      </c>
      <c r="J997" s="12">
        <v>612.62199999999996</v>
      </c>
      <c r="K997" s="12">
        <v>612.62199999999996</v>
      </c>
      <c r="L997" s="12">
        <v>631.00900000000001</v>
      </c>
      <c r="M997" s="12">
        <v>0.38600000000000001</v>
      </c>
      <c r="N997" s="12">
        <v>0.38600000000000001</v>
      </c>
      <c r="O997" s="12">
        <v>1.8360000000000001</v>
      </c>
      <c r="P997" s="13" t="s">
        <v>24</v>
      </c>
      <c r="Q997" s="13" t="s">
        <v>24</v>
      </c>
      <c r="R997" s="12">
        <v>16</v>
      </c>
    </row>
    <row r="998" spans="1:18" ht="17" customHeight="1" x14ac:dyDescent="0.2">
      <c r="A998" s="5" t="s">
        <v>4153</v>
      </c>
      <c r="B998" s="6" t="s">
        <v>4154</v>
      </c>
      <c r="C998" s="5" t="s">
        <v>4155</v>
      </c>
      <c r="D998" s="5" t="s">
        <v>4155</v>
      </c>
      <c r="E998" s="5" t="s">
        <v>4156</v>
      </c>
      <c r="F998" s="5" t="s">
        <v>21</v>
      </c>
      <c r="G998" s="5" t="s">
        <v>79</v>
      </c>
      <c r="H998" s="5" t="s">
        <v>56</v>
      </c>
      <c r="I998" s="5" t="str">
        <f>HYPERLINK("http://www.ilgrecocalzaturificio.com/","www.ilgrecocalzaturificio.com")</f>
        <v>www.ilgrecocalzaturificio.com</v>
      </c>
      <c r="J998" s="7">
        <v>674.33799999999997</v>
      </c>
      <c r="K998" s="7">
        <v>674.33799999999997</v>
      </c>
      <c r="L998" s="8">
        <v>630.74900000000002</v>
      </c>
      <c r="M998" s="7">
        <v>8.7149999999999999</v>
      </c>
      <c r="N998" s="7">
        <v>8.7149999999999999</v>
      </c>
      <c r="O998" s="7">
        <v>0.23499999999999999</v>
      </c>
      <c r="P998" s="7">
        <v>3</v>
      </c>
      <c r="Q998" s="7">
        <v>3</v>
      </c>
      <c r="R998" s="7">
        <v>4</v>
      </c>
    </row>
    <row r="999" spans="1:18" ht="17" customHeight="1" x14ac:dyDescent="0.2">
      <c r="A999" s="10" t="s">
        <v>4157</v>
      </c>
      <c r="B999" s="11" t="s">
        <v>4158</v>
      </c>
      <c r="C999" s="10" t="s">
        <v>4159</v>
      </c>
      <c r="D999" s="10" t="s">
        <v>4159</v>
      </c>
      <c r="E999" s="10" t="s">
        <v>4160</v>
      </c>
      <c r="F999" s="10" t="s">
        <v>482</v>
      </c>
      <c r="G999" s="10" t="s">
        <v>49</v>
      </c>
      <c r="H999" s="10" t="s">
        <v>23</v>
      </c>
      <c r="I999" s="10" t="str">
        <f>HYPERLINK("http://www.ghiblisrl.com/","www.ghiblisrl.com")</f>
        <v>www.ghiblisrl.com</v>
      </c>
      <c r="J999" s="12">
        <v>730.84900000000005</v>
      </c>
      <c r="K999" s="12">
        <v>730.84900000000005</v>
      </c>
      <c r="L999" s="12">
        <v>630.40800000000002</v>
      </c>
      <c r="M999" s="12">
        <v>28.327000000000002</v>
      </c>
      <c r="N999" s="12">
        <v>28.327000000000002</v>
      </c>
      <c r="O999" s="12">
        <v>17.042999999999999</v>
      </c>
      <c r="P999" s="12">
        <v>9</v>
      </c>
      <c r="Q999" s="12">
        <v>9</v>
      </c>
      <c r="R999" s="12">
        <v>10</v>
      </c>
    </row>
    <row r="1000" spans="1:18" ht="17" customHeight="1" x14ac:dyDescent="0.2">
      <c r="A1000" s="5" t="s">
        <v>4161</v>
      </c>
      <c r="B1000" s="6" t="s">
        <v>4162</v>
      </c>
      <c r="C1000" s="5" t="s">
        <v>4163</v>
      </c>
      <c r="D1000" s="5" t="s">
        <v>4163</v>
      </c>
      <c r="E1000" s="5" t="s">
        <v>4164</v>
      </c>
      <c r="F1000" s="5" t="s">
        <v>462</v>
      </c>
      <c r="G1000" s="5" t="s">
        <v>49</v>
      </c>
      <c r="H1000" s="5" t="s">
        <v>23</v>
      </c>
      <c r="I1000" s="5" t="str">
        <f>HYPERLINK("http://www.clararossi.it/","www.clararossi.it")</f>
        <v>www.clararossi.it</v>
      </c>
      <c r="J1000" s="7">
        <v>660.447</v>
      </c>
      <c r="K1000" s="7">
        <v>660.447</v>
      </c>
      <c r="L1000" s="8">
        <v>629.19000000000005</v>
      </c>
      <c r="M1000" s="7">
        <v>-7.9329999999999998</v>
      </c>
      <c r="N1000" s="7">
        <v>-7.9329999999999998</v>
      </c>
      <c r="O1000" s="7">
        <v>0.76600000000000001</v>
      </c>
      <c r="P1000" s="7">
        <v>3</v>
      </c>
      <c r="Q1000" s="7">
        <v>3</v>
      </c>
      <c r="R1000" s="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CIOTTI NICCOLÒ</dc:creator>
  <cp:lastModifiedBy>CIOTTI NICCOLÒ</cp:lastModifiedBy>
  <dcterms:created xsi:type="dcterms:W3CDTF">2025-06-24T17:01:28Z</dcterms:created>
  <dcterms:modified xsi:type="dcterms:W3CDTF">2025-06-24T17:02:32Z</dcterms:modified>
</cp:coreProperties>
</file>