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1中南建设\备份\"/>
    </mc:Choice>
  </mc:AlternateContent>
  <xr:revisionPtr revIDLastSave="0" documentId="13_ncr:1_{A1A71ED7-B3A5-437B-ABC5-684B97E3927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zonina2020ori" sheetId="1" r:id="rId1"/>
    <sheet name="毛利率算法" sheetId="16" r:id="rId2"/>
    <sheet name="zonia2016" sheetId="23" r:id="rId3"/>
    <sheet name="zonia2017" sheetId="13" r:id="rId4"/>
    <sheet name="zonia2018" sheetId="11" r:id="rId5"/>
    <sheet name="zonia2019" sheetId="9" r:id="rId6"/>
    <sheet name="zonia2020" sheetId="15" r:id="rId7"/>
    <sheet name="zonia2021" sheetId="18" r:id="rId8"/>
    <sheet name="Sheet1" sheetId="25" r:id="rId9"/>
    <sheet name="zonia2017 (2)" sheetId="26" r:id="rId10"/>
  </sheets>
  <definedNames>
    <definedName name="_xlnm._FilterDatabase" localSheetId="2" hidden="1">zonia2016!$A$1:$O$89</definedName>
    <definedName name="_xlnm._FilterDatabase" localSheetId="3" hidden="1">zonia2017!$A$1:$P$103</definedName>
    <definedName name="_xlnm._FilterDatabase" localSheetId="9" hidden="1">'zonia2017 (2)'!$A$1:$P$99</definedName>
    <definedName name="_xlnm._FilterDatabase" localSheetId="4" hidden="1">zonia2018!$A$1:$P$117</definedName>
    <definedName name="_xlnm._FilterDatabase" localSheetId="5" hidden="1">zonia2019!$A$1:$Q$75</definedName>
    <definedName name="_xlnm._FilterDatabase" localSheetId="6" hidden="1">zonia2020!$A$1:$P$108</definedName>
    <definedName name="_xlnm._FilterDatabase" localSheetId="0" hidden="1">zonina2020ori!$A$1:$N$108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3" l="1"/>
  <c r="I14" i="13"/>
  <c r="J14" i="13"/>
  <c r="H14" i="13"/>
  <c r="H23" i="23"/>
  <c r="I23" i="23"/>
  <c r="G23" i="23"/>
  <c r="E23" i="23"/>
  <c r="I75" i="13"/>
  <c r="J75" i="13"/>
  <c r="H75" i="13"/>
  <c r="H42" i="13"/>
  <c r="I34" i="13"/>
  <c r="J34" i="13"/>
  <c r="H34" i="13"/>
  <c r="J42" i="13"/>
  <c r="I42" i="13"/>
  <c r="D42" i="13" l="1"/>
  <c r="I7" i="26"/>
  <c r="J7" i="26"/>
  <c r="H7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L34" i="26"/>
  <c r="M34" i="26" s="1"/>
  <c r="N34" i="26" s="1"/>
  <c r="K34" i="26"/>
  <c r="L33" i="26"/>
  <c r="M33" i="26" s="1"/>
  <c r="N33" i="26" s="1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I17" i="26"/>
  <c r="L17" i="26" s="1"/>
  <c r="M17" i="26" s="1"/>
  <c r="N17" i="26" s="1"/>
  <c r="K16" i="26"/>
  <c r="K15" i="26"/>
  <c r="K14" i="26"/>
  <c r="K13" i="26"/>
  <c r="K12" i="26"/>
  <c r="K11" i="26"/>
  <c r="K10" i="26"/>
  <c r="K9" i="26"/>
  <c r="K8" i="26"/>
  <c r="K6" i="26"/>
  <c r="K5" i="26"/>
  <c r="K4" i="26"/>
  <c r="K3" i="26"/>
  <c r="K2" i="26"/>
  <c r="H56" i="18" l="1"/>
  <c r="H55" i="18"/>
  <c r="G55" i="18"/>
  <c r="H54" i="18"/>
  <c r="K6" i="25" l="1"/>
  <c r="H53" i="18"/>
  <c r="I50" i="18"/>
  <c r="H50" i="18"/>
  <c r="D43" i="18" l="1"/>
  <c r="J43" i="18"/>
  <c r="J50" i="18"/>
  <c r="D42" i="18"/>
  <c r="E7" i="9" l="1"/>
  <c r="K38" i="18" l="1"/>
  <c r="L116" i="15"/>
  <c r="L50" i="18"/>
  <c r="K50" i="18"/>
  <c r="K51" i="18" s="1"/>
  <c r="M115" i="15"/>
  <c r="L115" i="15"/>
  <c r="L42" i="18"/>
  <c r="K42" i="18"/>
  <c r="M42" i="18" s="1"/>
  <c r="L41" i="18"/>
  <c r="K41" i="18"/>
  <c r="M41" i="18" s="1"/>
  <c r="L40" i="18"/>
  <c r="K40" i="18"/>
  <c r="M40" i="18" s="1"/>
  <c r="L39" i="18"/>
  <c r="K39" i="18"/>
  <c r="M39" i="18" s="1"/>
  <c r="L37" i="18"/>
  <c r="M37" i="18" s="1"/>
  <c r="K37" i="18"/>
  <c r="L36" i="18"/>
  <c r="K36" i="18"/>
  <c r="M36" i="18" s="1"/>
  <c r="L35" i="18"/>
  <c r="K35" i="18"/>
  <c r="M35" i="18" s="1"/>
  <c r="L34" i="18"/>
  <c r="K34" i="18"/>
  <c r="L33" i="18"/>
  <c r="K33" i="18"/>
  <c r="L32" i="18"/>
  <c r="K32" i="18"/>
  <c r="M32" i="18" s="1"/>
  <c r="M33" i="18"/>
  <c r="M34" i="18"/>
  <c r="L38" i="18"/>
  <c r="M38" i="18" s="1"/>
  <c r="J116" i="15" l="1"/>
  <c r="I115" i="15"/>
  <c r="J115" i="15"/>
  <c r="K115" i="15"/>
  <c r="I51" i="18"/>
  <c r="J32" i="18"/>
  <c r="J33" i="18"/>
  <c r="J34" i="18"/>
  <c r="J35" i="18"/>
  <c r="J36" i="18"/>
  <c r="J37" i="18"/>
  <c r="J38" i="18"/>
  <c r="J39" i="18"/>
  <c r="J40" i="18"/>
  <c r="J41" i="18"/>
  <c r="J42" i="18"/>
  <c r="D32" i="18"/>
  <c r="D33" i="18"/>
  <c r="D34" i="18"/>
  <c r="D35" i="18"/>
  <c r="D36" i="18"/>
  <c r="D37" i="18"/>
  <c r="D38" i="18"/>
  <c r="D39" i="18"/>
  <c r="D40" i="18"/>
  <c r="D41" i="18"/>
  <c r="K25" i="18" l="1"/>
  <c r="L25" i="18" s="1"/>
  <c r="M25" i="18" s="1"/>
  <c r="K18" i="18"/>
  <c r="L18" i="18" s="1"/>
  <c r="M18" i="18" s="1"/>
  <c r="K17" i="18"/>
  <c r="K16" i="18"/>
  <c r="K12" i="18"/>
  <c r="K24" i="18"/>
  <c r="L24" i="18" s="1"/>
  <c r="M24" i="18" s="1"/>
  <c r="K21" i="18"/>
  <c r="K19" i="18"/>
  <c r="L19" i="18" s="1"/>
  <c r="K20" i="18"/>
  <c r="L20" i="18" s="1"/>
  <c r="K22" i="18"/>
  <c r="L22" i="18" s="1"/>
  <c r="K23" i="18"/>
  <c r="K26" i="18"/>
  <c r="L26" i="18" s="1"/>
  <c r="M26" i="18" s="1"/>
  <c r="K27" i="18"/>
  <c r="L27" i="18" s="1"/>
  <c r="K28" i="18"/>
  <c r="L28" i="18" s="1"/>
  <c r="M28" i="18" s="1"/>
  <c r="K29" i="18"/>
  <c r="L29" i="18" s="1"/>
  <c r="M29" i="18" s="1"/>
  <c r="K30" i="18"/>
  <c r="L30" i="18" s="1"/>
  <c r="K31" i="18"/>
  <c r="L31" i="18" s="1"/>
  <c r="M31" i="18" s="1"/>
  <c r="I110" i="15"/>
  <c r="L23" i="18" l="1"/>
  <c r="M23" i="18" s="1"/>
  <c r="L16" i="18"/>
  <c r="M16" i="18" s="1"/>
  <c r="L17" i="18"/>
  <c r="M17" i="18" s="1"/>
  <c r="L21" i="18"/>
  <c r="M21" i="18" s="1"/>
  <c r="M19" i="18"/>
  <c r="M20" i="18"/>
  <c r="M22" i="18"/>
  <c r="M27" i="18"/>
  <c r="M30" i="18"/>
  <c r="J31" i="18" l="1"/>
  <c r="J19" i="18"/>
  <c r="J20" i="18"/>
  <c r="J21" i="18"/>
  <c r="J22" i="18"/>
  <c r="J23" i="18"/>
  <c r="J24" i="18"/>
  <c r="J25" i="18"/>
  <c r="J26" i="18"/>
  <c r="J27" i="18"/>
  <c r="J28" i="18"/>
  <c r="J29" i="18"/>
  <c r="J30" i="18"/>
  <c r="D16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K53" i="15" l="1"/>
  <c r="K111" i="15" l="1"/>
  <c r="K110" i="15"/>
  <c r="J110" i="15"/>
  <c r="L110" i="15" l="1"/>
  <c r="L2" i="15" l="1"/>
  <c r="K15" i="18" l="1"/>
  <c r="L15" i="18" s="1"/>
  <c r="M15" i="18" s="1"/>
  <c r="K14" i="18"/>
  <c r="L14" i="18" s="1"/>
  <c r="M14" i="18" s="1"/>
  <c r="J14" i="18"/>
  <c r="J15" i="18"/>
  <c r="J16" i="18"/>
  <c r="J17" i="18"/>
  <c r="J18" i="18"/>
  <c r="D14" i="18"/>
  <c r="D15" i="18"/>
  <c r="D17" i="18"/>
  <c r="D18" i="18"/>
  <c r="L27" i="23" l="1"/>
  <c r="I27" i="23"/>
  <c r="L20" i="23"/>
  <c r="I20" i="23"/>
  <c r="L89" i="23"/>
  <c r="I89" i="23"/>
  <c r="L85" i="23"/>
  <c r="I85" i="23"/>
  <c r="L53" i="23"/>
  <c r="I53" i="23"/>
  <c r="L87" i="23"/>
  <c r="I87" i="23"/>
  <c r="L88" i="23"/>
  <c r="I88" i="23"/>
  <c r="L52" i="23"/>
  <c r="I52" i="23"/>
  <c r="L33" i="23"/>
  <c r="I33" i="23"/>
  <c r="L48" i="23"/>
  <c r="I48" i="23"/>
  <c r="L49" i="23"/>
  <c r="I49" i="23"/>
  <c r="L86" i="23"/>
  <c r="I86" i="23"/>
  <c r="L54" i="23"/>
  <c r="I54" i="23"/>
  <c r="L77" i="23"/>
  <c r="I77" i="23"/>
  <c r="L46" i="23"/>
  <c r="I46" i="23"/>
  <c r="L74" i="23"/>
  <c r="I74" i="23"/>
  <c r="L79" i="23"/>
  <c r="I79" i="23"/>
  <c r="L50" i="23"/>
  <c r="I50" i="23"/>
  <c r="L26" i="23"/>
  <c r="I26" i="23"/>
  <c r="L45" i="23"/>
  <c r="I45" i="23"/>
  <c r="L47" i="23"/>
  <c r="I47" i="23"/>
  <c r="L39" i="23"/>
  <c r="I39" i="23"/>
  <c r="L44" i="23"/>
  <c r="I44" i="23"/>
  <c r="L67" i="23"/>
  <c r="I67" i="23"/>
  <c r="L82" i="23"/>
  <c r="I82" i="23"/>
  <c r="L64" i="23"/>
  <c r="I64" i="23"/>
  <c r="L83" i="23"/>
  <c r="I83" i="23"/>
  <c r="L62" i="23"/>
  <c r="I62" i="23"/>
  <c r="L12" i="23"/>
  <c r="I12" i="23"/>
  <c r="L84" i="23"/>
  <c r="I84" i="23"/>
  <c r="L80" i="23"/>
  <c r="I80" i="23"/>
  <c r="L51" i="23"/>
  <c r="I51" i="23"/>
  <c r="L37" i="23"/>
  <c r="I37" i="23"/>
  <c r="L6" i="23"/>
  <c r="I6" i="23"/>
  <c r="L58" i="23"/>
  <c r="I58" i="23"/>
  <c r="L3" i="23"/>
  <c r="I3" i="23"/>
  <c r="L22" i="23"/>
  <c r="I22" i="23"/>
  <c r="L68" i="23"/>
  <c r="I68" i="23"/>
  <c r="L18" i="23"/>
  <c r="I18" i="23"/>
  <c r="L70" i="23"/>
  <c r="I70" i="23"/>
  <c r="L78" i="23"/>
  <c r="I78" i="23"/>
  <c r="L72" i="23"/>
  <c r="I72" i="23"/>
  <c r="L9" i="23"/>
  <c r="I9" i="23"/>
  <c r="L73" i="23"/>
  <c r="I73" i="23"/>
  <c r="L2" i="23"/>
  <c r="I2" i="23"/>
  <c r="L34" i="23"/>
  <c r="I34" i="23"/>
  <c r="L81" i="23"/>
  <c r="I81" i="23"/>
  <c r="L13" i="23"/>
  <c r="I13" i="23"/>
  <c r="L65" i="23"/>
  <c r="I65" i="23"/>
  <c r="L60" i="23"/>
  <c r="I60" i="23"/>
  <c r="L59" i="23"/>
  <c r="I59" i="23"/>
  <c r="L63" i="23"/>
  <c r="I63" i="23"/>
  <c r="L43" i="23"/>
  <c r="I43" i="23"/>
  <c r="L41" i="23"/>
  <c r="I41" i="23"/>
  <c r="L4" i="23"/>
  <c r="I4" i="23"/>
  <c r="L57" i="23"/>
  <c r="I57" i="23"/>
  <c r="L24" i="23"/>
  <c r="I24" i="23"/>
  <c r="L40" i="23"/>
  <c r="I40" i="23"/>
  <c r="L55" i="23"/>
  <c r="I55" i="23"/>
  <c r="L14" i="23"/>
  <c r="I14" i="23"/>
  <c r="L15" i="23"/>
  <c r="I15" i="23"/>
  <c r="L28" i="23"/>
  <c r="I28" i="23"/>
  <c r="L10" i="23"/>
  <c r="I10" i="23"/>
  <c r="L21" i="23"/>
  <c r="I21" i="23"/>
  <c r="L16" i="23"/>
  <c r="I16" i="23"/>
  <c r="L71" i="23"/>
  <c r="I71" i="23"/>
  <c r="L69" i="23"/>
  <c r="I69" i="23"/>
  <c r="L17" i="23"/>
  <c r="I17" i="23"/>
  <c r="L61" i="23"/>
  <c r="I61" i="23"/>
  <c r="L31" i="23"/>
  <c r="I31" i="23"/>
  <c r="L36" i="23"/>
  <c r="I36" i="23"/>
  <c r="L35" i="23"/>
  <c r="I35" i="23"/>
  <c r="L38" i="23"/>
  <c r="I38" i="23"/>
  <c r="L42" i="23"/>
  <c r="I42" i="23"/>
  <c r="L11" i="23"/>
  <c r="I11" i="23"/>
  <c r="L76" i="23"/>
  <c r="I76" i="23"/>
  <c r="L56" i="23"/>
  <c r="I56" i="23"/>
  <c r="L30" i="23"/>
  <c r="I30" i="23"/>
  <c r="L7" i="23"/>
  <c r="I7" i="23"/>
  <c r="L75" i="23"/>
  <c r="I75" i="23"/>
  <c r="L66" i="23"/>
  <c r="I66" i="23"/>
  <c r="L5" i="23"/>
  <c r="I5" i="23"/>
  <c r="L25" i="23"/>
  <c r="I25" i="23"/>
  <c r="L8" i="23"/>
  <c r="I8" i="23"/>
  <c r="L19" i="23"/>
  <c r="I19" i="23"/>
  <c r="L32" i="23"/>
  <c r="I32" i="23"/>
  <c r="L29" i="23"/>
  <c r="I29" i="23"/>
  <c r="K2" i="18" l="1"/>
  <c r="L70" i="15"/>
  <c r="M70" i="15" s="1"/>
  <c r="K8" i="18"/>
  <c r="D12" i="18" l="1"/>
  <c r="L12" i="18" l="1"/>
  <c r="K10" i="18"/>
  <c r="L10" i="18" s="1"/>
  <c r="M10" i="18" s="1"/>
  <c r="K9" i="18"/>
  <c r="L9" i="18" s="1"/>
  <c r="M9" i="18" s="1"/>
  <c r="L8" i="18"/>
  <c r="M8" i="18" s="1"/>
  <c r="M12" i="18" l="1"/>
  <c r="K7" i="18"/>
  <c r="J8" i="18"/>
  <c r="J9" i="18"/>
  <c r="J10" i="18"/>
  <c r="J11" i="18"/>
  <c r="J12" i="18"/>
  <c r="J7" i="18"/>
  <c r="D11" i="18"/>
  <c r="D10" i="18"/>
  <c r="D9" i="18"/>
  <c r="D8" i="18"/>
  <c r="J2" i="18"/>
  <c r="I111" i="15" l="1"/>
  <c r="L7" i="18"/>
  <c r="M7" i="18" s="1"/>
  <c r="K6" i="18" l="1"/>
  <c r="L6" i="18" s="1"/>
  <c r="M6" i="18" s="1"/>
  <c r="K5" i="18"/>
  <c r="L5" i="18" s="1"/>
  <c r="M5" i="18" s="1"/>
  <c r="D6" i="18"/>
  <c r="D7" i="18"/>
  <c r="J6" i="18"/>
  <c r="J5" i="18"/>
  <c r="D5" i="18"/>
  <c r="L99" i="13" l="1"/>
  <c r="M99" i="13" s="1"/>
  <c r="N99" i="13" s="1"/>
  <c r="I61" i="13"/>
  <c r="L26" i="13"/>
  <c r="M26" i="13" s="1"/>
  <c r="N26" i="13" s="1"/>
  <c r="L110" i="11"/>
  <c r="M110" i="11" s="1"/>
  <c r="N110" i="11" s="1"/>
  <c r="I41" i="11"/>
  <c r="H41" i="11"/>
  <c r="L66" i="15"/>
  <c r="L61" i="13" l="1"/>
  <c r="M61" i="13" s="1"/>
  <c r="N61" i="13" s="1"/>
  <c r="K3" i="18"/>
  <c r="L2" i="18"/>
  <c r="M2" i="18" s="1"/>
  <c r="L71" i="15"/>
  <c r="J4" i="18"/>
  <c r="D4" i="18"/>
  <c r="J3" i="18"/>
  <c r="D3" i="18"/>
  <c r="D2" i="18"/>
  <c r="L3" i="18" l="1"/>
  <c r="M3" i="18" s="1"/>
  <c r="I12" i="15"/>
  <c r="I9" i="15"/>
  <c r="M38" i="9" l="1"/>
  <c r="L61" i="15" l="1"/>
  <c r="M61" i="15" s="1"/>
  <c r="I61" i="15"/>
  <c r="L60" i="15"/>
  <c r="M60" i="15" s="1"/>
  <c r="I60" i="15"/>
  <c r="L59" i="15"/>
  <c r="M59" i="15" s="1"/>
  <c r="I59" i="15"/>
  <c r="L57" i="15"/>
  <c r="M57" i="15" s="1"/>
  <c r="L56" i="15"/>
  <c r="M56" i="15" s="1"/>
  <c r="L54" i="15"/>
  <c r="M54" i="15" s="1"/>
  <c r="I54" i="15"/>
  <c r="L53" i="15"/>
  <c r="M53" i="15" s="1"/>
  <c r="L52" i="15"/>
  <c r="M52" i="15" s="1"/>
  <c r="I52" i="15"/>
  <c r="L51" i="15"/>
  <c r="M51" i="15" s="1"/>
  <c r="I51" i="15"/>
  <c r="L50" i="15"/>
  <c r="M50" i="15" s="1"/>
  <c r="L49" i="15"/>
  <c r="M49" i="15" s="1"/>
  <c r="L48" i="15"/>
  <c r="M48" i="15" s="1"/>
  <c r="L47" i="15"/>
  <c r="M47" i="15" s="1"/>
  <c r="N47" i="15" s="1"/>
  <c r="L46" i="15"/>
  <c r="M46" i="15" s="1"/>
  <c r="I45" i="15"/>
  <c r="L45" i="15"/>
  <c r="M45" i="15" s="1"/>
  <c r="L44" i="15"/>
  <c r="M44" i="15" s="1"/>
  <c r="I44" i="15"/>
  <c r="L42" i="15"/>
  <c r="M42" i="15" s="1"/>
  <c r="L41" i="15"/>
  <c r="M41" i="15" s="1"/>
  <c r="I41" i="15"/>
  <c r="L40" i="15"/>
  <c r="M40" i="15" s="1"/>
  <c r="I40" i="15"/>
  <c r="L39" i="15"/>
  <c r="M39" i="15" s="1"/>
  <c r="L38" i="15"/>
  <c r="M38" i="15" s="1"/>
  <c r="I37" i="15"/>
  <c r="L37" i="15"/>
  <c r="M37" i="15" s="1"/>
  <c r="N37" i="15" s="1"/>
  <c r="L35" i="15"/>
  <c r="M35" i="15" s="1"/>
  <c r="I36" i="15"/>
  <c r="I35" i="15"/>
  <c r="L34" i="15"/>
  <c r="M34" i="15" s="1"/>
  <c r="I34" i="15"/>
  <c r="N34" i="15" l="1"/>
  <c r="L33" i="15"/>
  <c r="M33" i="15" s="1"/>
  <c r="L30" i="15"/>
  <c r="M30" i="15" s="1"/>
  <c r="L29" i="15"/>
  <c r="M29" i="15" s="1"/>
  <c r="N29" i="15" s="1"/>
  <c r="K29" i="15"/>
  <c r="I29" i="15"/>
  <c r="L28" i="15"/>
  <c r="M28" i="15" s="1"/>
  <c r="L26" i="15"/>
  <c r="M26" i="15" s="1"/>
  <c r="I24" i="15"/>
  <c r="L24" i="15"/>
  <c r="M24" i="15" s="1"/>
  <c r="N24" i="15" s="1"/>
  <c r="K24" i="15"/>
  <c r="K27" i="15"/>
  <c r="L23" i="15"/>
  <c r="M23" i="15" s="1"/>
  <c r="L25" i="15" l="1"/>
  <c r="M25" i="15" s="1"/>
  <c r="N25" i="15" s="1"/>
  <c r="L22" i="15"/>
  <c r="M22" i="15" s="1"/>
  <c r="N22" i="15" s="1"/>
  <c r="L21" i="15"/>
  <c r="M21" i="15" s="1"/>
  <c r="L20" i="15"/>
  <c r="M20" i="15" s="1"/>
  <c r="I20" i="15"/>
  <c r="L19" i="15"/>
  <c r="M19" i="15" s="1"/>
  <c r="I19" i="15"/>
  <c r="I18" i="15"/>
  <c r="L18" i="15"/>
  <c r="L16" i="15"/>
  <c r="M16" i="15" s="1"/>
  <c r="I16" i="15"/>
  <c r="L14" i="15"/>
  <c r="M14" i="15" s="1"/>
  <c r="I14" i="15"/>
  <c r="L13" i="15"/>
  <c r="M13" i="15" s="1"/>
  <c r="I13" i="15"/>
  <c r="L12" i="15"/>
  <c r="M12" i="15" s="1"/>
  <c r="L9" i="15"/>
  <c r="M9" i="15" s="1"/>
  <c r="I10" i="15"/>
  <c r="L7" i="15"/>
  <c r="M7" i="15" s="1"/>
  <c r="L6" i="15"/>
  <c r="M6" i="15" s="1"/>
  <c r="L5" i="15"/>
  <c r="M5" i="15" s="1"/>
  <c r="I5" i="15"/>
  <c r="L3" i="15"/>
  <c r="L4" i="15"/>
  <c r="M4" i="15" s="1"/>
  <c r="M3" i="15" l="1"/>
  <c r="M18" i="15"/>
  <c r="N18" i="15" s="1"/>
  <c r="M2" i="15"/>
  <c r="N2" i="15" s="1"/>
  <c r="M59" i="9"/>
  <c r="N59" i="9" s="1"/>
  <c r="O59" i="9" s="1"/>
  <c r="M56" i="9"/>
  <c r="J56" i="9"/>
  <c r="M43" i="9"/>
  <c r="N43" i="9" s="1"/>
  <c r="J43" i="9"/>
  <c r="J39" i="9"/>
  <c r="M39" i="9"/>
  <c r="N39" i="9" s="1"/>
  <c r="M66" i="9"/>
  <c r="J66" i="9"/>
  <c r="M71" i="9"/>
  <c r="N71" i="9" s="1"/>
  <c r="O71" i="9" s="1"/>
  <c r="M55" i="9"/>
  <c r="N55" i="9" s="1"/>
  <c r="M74" i="9"/>
  <c r="N74" i="9" s="1"/>
  <c r="O74" i="9" s="1"/>
  <c r="M70" i="9"/>
  <c r="N70" i="9" s="1"/>
  <c r="M51" i="9"/>
  <c r="N51" i="9" s="1"/>
  <c r="M42" i="9"/>
  <c r="N42" i="9" s="1"/>
  <c r="O42" i="9" s="1"/>
  <c r="M63" i="9"/>
  <c r="N63" i="9" s="1"/>
  <c r="O63" i="9" s="1"/>
  <c r="J63" i="9"/>
  <c r="J64" i="9"/>
  <c r="M64" i="9"/>
  <c r="N64" i="9" s="1"/>
  <c r="O64" i="9" s="1"/>
  <c r="J49" i="9"/>
  <c r="M49" i="9"/>
  <c r="N49" i="9" s="1"/>
  <c r="O49" i="9" s="1"/>
  <c r="M35" i="9"/>
  <c r="N35" i="9" s="1"/>
  <c r="O35" i="9" s="1"/>
  <c r="J35" i="9"/>
  <c r="M33" i="9"/>
  <c r="J37" i="9"/>
  <c r="M37" i="9" s="1"/>
  <c r="N37" i="9" s="1"/>
  <c r="O37" i="9" s="1"/>
  <c r="J26" i="9"/>
  <c r="M44" i="9"/>
  <c r="N44" i="9" s="1"/>
  <c r="O44" i="9" s="1"/>
  <c r="M40" i="9"/>
  <c r="N40" i="9" s="1"/>
  <c r="O40" i="9" s="1"/>
  <c r="M41" i="9"/>
  <c r="N41" i="9" s="1"/>
  <c r="O41" i="9" s="1"/>
  <c r="J41" i="9"/>
  <c r="J58" i="9"/>
  <c r="M58" i="9"/>
  <c r="N58" i="9" s="1"/>
  <c r="O58" i="9" s="1"/>
  <c r="J53" i="9"/>
  <c r="M53" i="9"/>
  <c r="N53" i="9" s="1"/>
  <c r="O53" i="9" s="1"/>
  <c r="M18" i="9"/>
  <c r="N18" i="9" s="1"/>
  <c r="O18" i="9" s="1"/>
  <c r="M65" i="9"/>
  <c r="N65" i="9" s="1"/>
  <c r="O65" i="9" s="1"/>
  <c r="M48" i="9"/>
  <c r="N48" i="9" s="1"/>
  <c r="O48" i="9" s="1"/>
  <c r="M72" i="9"/>
  <c r="N72" i="9" s="1"/>
  <c r="O72" i="9" s="1"/>
  <c r="J72" i="9"/>
  <c r="M17" i="9"/>
  <c r="N17" i="9" s="1"/>
  <c r="O17" i="9" s="1"/>
  <c r="J25" i="9"/>
  <c r="M25" i="9"/>
  <c r="O70" i="9" l="1"/>
  <c r="N33" i="9"/>
  <c r="O33" i="9" s="1"/>
  <c r="N66" i="9"/>
  <c r="O66" i="9" s="1"/>
  <c r="N25" i="9"/>
  <c r="O25" i="9" s="1"/>
  <c r="N56" i="9"/>
  <c r="O56" i="9" s="1"/>
  <c r="O43" i="9"/>
  <c r="O39" i="9"/>
  <c r="O55" i="9"/>
  <c r="O51" i="9"/>
  <c r="M46" i="9"/>
  <c r="N46" i="9" s="1"/>
  <c r="O46" i="9" s="1"/>
  <c r="J46" i="9"/>
  <c r="J29" i="9"/>
  <c r="M69" i="9"/>
  <c r="N69" i="9" s="1"/>
  <c r="O69" i="9" s="1"/>
  <c r="J69" i="9"/>
  <c r="M30" i="9"/>
  <c r="N30" i="9" s="1"/>
  <c r="M67" i="9"/>
  <c r="N67" i="9" s="1"/>
  <c r="O67" i="9" s="1"/>
  <c r="J7" i="9"/>
  <c r="M47" i="9"/>
  <c r="N47" i="9" s="1"/>
  <c r="O47" i="9" s="1"/>
  <c r="M52" i="9"/>
  <c r="N52" i="9" s="1"/>
  <c r="M61" i="9"/>
  <c r="M45" i="9"/>
  <c r="N45" i="9" s="1"/>
  <c r="O45" i="9" s="1"/>
  <c r="M12" i="9"/>
  <c r="J36" i="9"/>
  <c r="M36" i="9"/>
  <c r="N36" i="9" s="1"/>
  <c r="M13" i="9"/>
  <c r="J13" i="9"/>
  <c r="M68" i="9"/>
  <c r="N68" i="9" s="1"/>
  <c r="M50" i="9"/>
  <c r="N50" i="9" s="1"/>
  <c r="J50" i="9"/>
  <c r="M15" i="9"/>
  <c r="N15" i="9" s="1"/>
  <c r="M57" i="9"/>
  <c r="N57" i="9" s="1"/>
  <c r="O57" i="9" s="1"/>
  <c r="M28" i="9"/>
  <c r="N28" i="9" s="1"/>
  <c r="O28" i="9" s="1"/>
  <c r="J28" i="9"/>
  <c r="M62" i="9"/>
  <c r="N62" i="9" s="1"/>
  <c r="O62" i="9" s="1"/>
  <c r="M26" i="9"/>
  <c r="N26" i="9" s="1"/>
  <c r="O26" i="9" s="1"/>
  <c r="M60" i="9"/>
  <c r="N60" i="9" s="1"/>
  <c r="O60" i="9" s="1"/>
  <c r="J60" i="9"/>
  <c r="M21" i="9"/>
  <c r="N21" i="9" s="1"/>
  <c r="O21" i="9" s="1"/>
  <c r="M19" i="9"/>
  <c r="N19" i="9" s="1"/>
  <c r="O19" i="9" s="1"/>
  <c r="J21" i="9"/>
  <c r="J19" i="9"/>
  <c r="M10" i="9"/>
  <c r="N10" i="9" s="1"/>
  <c r="O10" i="9" s="1"/>
  <c r="J10" i="9"/>
  <c r="M34" i="9"/>
  <c r="N34" i="9" s="1"/>
  <c r="O34" i="9" s="1"/>
  <c r="J34" i="9"/>
  <c r="M14" i="9"/>
  <c r="M31" i="9"/>
  <c r="N31" i="9" s="1"/>
  <c r="O31" i="9" s="1"/>
  <c r="M29" i="9"/>
  <c r="N29" i="9" s="1"/>
  <c r="O29" i="9" s="1"/>
  <c r="M22" i="9"/>
  <c r="N22" i="9" s="1"/>
  <c r="O22" i="9" s="1"/>
  <c r="M24" i="9"/>
  <c r="N24" i="9" s="1"/>
  <c r="O24" i="9" s="1"/>
  <c r="J24" i="9"/>
  <c r="M23" i="9"/>
  <c r="N23" i="9" s="1"/>
  <c r="O23" i="9" s="1"/>
  <c r="J23" i="9"/>
  <c r="M6" i="9"/>
  <c r="N6" i="9" s="1"/>
  <c r="O6" i="9" s="1"/>
  <c r="J6" i="9"/>
  <c r="M5" i="9"/>
  <c r="N5" i="9" s="1"/>
  <c r="J5" i="9"/>
  <c r="J20" i="9"/>
  <c r="M20" i="9"/>
  <c r="N20" i="9" s="1"/>
  <c r="O20" i="9" s="1"/>
  <c r="M4" i="9"/>
  <c r="N4" i="9" s="1"/>
  <c r="O4" i="9" s="1"/>
  <c r="J4" i="9"/>
  <c r="M11" i="9"/>
  <c r="N11" i="9" s="1"/>
  <c r="O11" i="9" s="1"/>
  <c r="J11" i="9"/>
  <c r="J8" i="9"/>
  <c r="L8" i="9"/>
  <c r="M7" i="9"/>
  <c r="N7" i="9" s="1"/>
  <c r="M8" i="9"/>
  <c r="N8" i="9" s="1"/>
  <c r="O8" i="9" s="1"/>
  <c r="M16" i="9"/>
  <c r="N16" i="9" s="1"/>
  <c r="O16" i="9" s="1"/>
  <c r="J16" i="9"/>
  <c r="M32" i="9"/>
  <c r="N32" i="9" s="1"/>
  <c r="J32" i="9"/>
  <c r="M3" i="9"/>
  <c r="N3" i="9" s="1"/>
  <c r="O3" i="9" s="1"/>
  <c r="J3" i="9"/>
  <c r="O50" i="9" l="1"/>
  <c r="N61" i="9"/>
  <c r="O61" i="9" s="1"/>
  <c r="N13" i="9"/>
  <c r="O13" i="9" s="1"/>
  <c r="N12" i="9"/>
  <c r="O12" i="9" s="1"/>
  <c r="O30" i="9"/>
  <c r="O52" i="9"/>
  <c r="O36" i="9"/>
  <c r="O68" i="9"/>
  <c r="O15" i="9"/>
  <c r="N14" i="9"/>
  <c r="O14" i="9" s="1"/>
  <c r="O5" i="9"/>
  <c r="O7" i="9"/>
  <c r="O32" i="9"/>
  <c r="J2" i="9"/>
  <c r="M2" i="9"/>
  <c r="N2" i="9" s="1"/>
  <c r="O2" i="9" s="1"/>
  <c r="M9" i="9" l="1"/>
  <c r="N9" i="9" s="1"/>
  <c r="J38" i="9"/>
  <c r="J9" i="9"/>
  <c r="L38" i="9"/>
  <c r="N38" i="9" l="1"/>
  <c r="N78" i="9" s="1"/>
  <c r="M78" i="9"/>
  <c r="O9" i="9"/>
  <c r="L106" i="15"/>
  <c r="M106" i="15" s="1"/>
  <c r="N106" i="15" s="1"/>
  <c r="L105" i="15"/>
  <c r="M105" i="15" s="1"/>
  <c r="N105" i="15" s="1"/>
  <c r="L104" i="15"/>
  <c r="M104" i="15" s="1"/>
  <c r="N104" i="15" s="1"/>
  <c r="L99" i="15"/>
  <c r="M99" i="15" s="1"/>
  <c r="N99" i="15" s="1"/>
  <c r="L98" i="15"/>
  <c r="M98" i="15" s="1"/>
  <c r="N98" i="15" s="1"/>
  <c r="L97" i="15"/>
  <c r="M97" i="15" s="1"/>
  <c r="N97" i="15" s="1"/>
  <c r="L96" i="15"/>
  <c r="M96" i="15" s="1"/>
  <c r="N96" i="15" s="1"/>
  <c r="L95" i="15"/>
  <c r="M95" i="15" s="1"/>
  <c r="N95" i="15" s="1"/>
  <c r="L94" i="15"/>
  <c r="M94" i="15" s="1"/>
  <c r="N94" i="15" s="1"/>
  <c r="L93" i="15"/>
  <c r="M93" i="15" s="1"/>
  <c r="N93" i="15" s="1"/>
  <c r="L92" i="15"/>
  <c r="M92" i="15" s="1"/>
  <c r="N92" i="15" s="1"/>
  <c r="L91" i="15"/>
  <c r="M91" i="15" s="1"/>
  <c r="N91" i="15" s="1"/>
  <c r="L90" i="15"/>
  <c r="M90" i="15" s="1"/>
  <c r="N90" i="15" s="1"/>
  <c r="L88" i="15"/>
  <c r="M88" i="15" s="1"/>
  <c r="N88" i="15" s="1"/>
  <c r="L87" i="15"/>
  <c r="M87" i="15" s="1"/>
  <c r="N87" i="15" s="1"/>
  <c r="L86" i="15"/>
  <c r="M86" i="15" s="1"/>
  <c r="N86" i="15" s="1"/>
  <c r="L85" i="15"/>
  <c r="M85" i="15" s="1"/>
  <c r="N85" i="15" s="1"/>
  <c r="L82" i="15"/>
  <c r="M82" i="15" s="1"/>
  <c r="N82" i="15" s="1"/>
  <c r="L81" i="15"/>
  <c r="M81" i="15" s="1"/>
  <c r="N81" i="15" s="1"/>
  <c r="L80" i="15"/>
  <c r="M80" i="15" s="1"/>
  <c r="N80" i="15" s="1"/>
  <c r="L79" i="15"/>
  <c r="M79" i="15" s="1"/>
  <c r="N79" i="15" s="1"/>
  <c r="L78" i="15"/>
  <c r="M78" i="15" s="1"/>
  <c r="N78" i="15" s="1"/>
  <c r="L77" i="15"/>
  <c r="M77" i="15" s="1"/>
  <c r="N77" i="15" s="1"/>
  <c r="L76" i="15"/>
  <c r="M76" i="15" s="1"/>
  <c r="N76" i="15" s="1"/>
  <c r="L74" i="15"/>
  <c r="M74" i="15" s="1"/>
  <c r="N74" i="15" s="1"/>
  <c r="L73" i="15"/>
  <c r="M73" i="15" s="1"/>
  <c r="N73" i="15" s="1"/>
  <c r="L72" i="15"/>
  <c r="M71" i="15"/>
  <c r="N71" i="15" s="1"/>
  <c r="N70" i="15"/>
  <c r="L69" i="15"/>
  <c r="M69" i="15" s="1"/>
  <c r="N69" i="15" s="1"/>
  <c r="L68" i="15"/>
  <c r="M68" i="15" s="1"/>
  <c r="N68" i="15" s="1"/>
  <c r="L67" i="15"/>
  <c r="M67" i="15" s="1"/>
  <c r="N67" i="15" s="1"/>
  <c r="M66" i="15"/>
  <c r="N66" i="15" s="1"/>
  <c r="L65" i="15"/>
  <c r="M65" i="15" s="1"/>
  <c r="N65" i="15" s="1"/>
  <c r="L64" i="15"/>
  <c r="M64" i="15" s="1"/>
  <c r="N64" i="15" s="1"/>
  <c r="L63" i="15"/>
  <c r="M63" i="15" s="1"/>
  <c r="N63" i="15" s="1"/>
  <c r="L62" i="15"/>
  <c r="M62" i="15" s="1"/>
  <c r="N62" i="15" s="1"/>
  <c r="N61" i="15"/>
  <c r="N60" i="15"/>
  <c r="N59" i="15"/>
  <c r="L58" i="15"/>
  <c r="M58" i="15" s="1"/>
  <c r="N58" i="15" s="1"/>
  <c r="N57" i="15"/>
  <c r="N56" i="15"/>
  <c r="L55" i="15"/>
  <c r="M55" i="15" s="1"/>
  <c r="N55" i="15" s="1"/>
  <c r="N54" i="15"/>
  <c r="N53" i="15"/>
  <c r="N52" i="15"/>
  <c r="N51" i="15"/>
  <c r="N50" i="15"/>
  <c r="N49" i="15"/>
  <c r="N46" i="15"/>
  <c r="N45" i="15"/>
  <c r="N44" i="15"/>
  <c r="N42" i="15"/>
  <c r="N41" i="15"/>
  <c r="N40" i="15"/>
  <c r="N39" i="15"/>
  <c r="N38" i="15"/>
  <c r="L36" i="15"/>
  <c r="N35" i="15"/>
  <c r="N33" i="15"/>
  <c r="L32" i="15"/>
  <c r="L31" i="15"/>
  <c r="N30" i="15"/>
  <c r="N28" i="15"/>
  <c r="N26" i="15"/>
  <c r="N23" i="15"/>
  <c r="N21" i="15"/>
  <c r="N20" i="15"/>
  <c r="N19" i="15"/>
  <c r="L17" i="15"/>
  <c r="M17" i="15" s="1"/>
  <c r="N17" i="15" s="1"/>
  <c r="N16" i="15"/>
  <c r="N12" i="15"/>
  <c r="L10" i="15"/>
  <c r="N9" i="15"/>
  <c r="N7" i="15"/>
  <c r="N5" i="15"/>
  <c r="N48" i="15"/>
  <c r="N3" i="15"/>
  <c r="N4" i="15"/>
  <c r="N6" i="15"/>
  <c r="M72" i="15" l="1"/>
  <c r="N72" i="15" s="1"/>
  <c r="M36" i="15"/>
  <c r="N36" i="15" s="1"/>
  <c r="M10" i="15"/>
  <c r="N10" i="15" s="1"/>
  <c r="M31" i="15"/>
  <c r="N31" i="15" s="1"/>
  <c r="M32" i="15"/>
  <c r="N32" i="15" s="1"/>
  <c r="N14" i="15"/>
  <c r="N13" i="15"/>
  <c r="O38" i="9"/>
  <c r="O78" i="9"/>
  <c r="D45" i="15"/>
  <c r="B16" i="16"/>
  <c r="B17" i="16"/>
  <c r="B10" i="16"/>
  <c r="B11" i="16"/>
  <c r="B12" i="16"/>
  <c r="E8" i="16"/>
  <c r="E11" i="16"/>
  <c r="E10" i="16"/>
  <c r="E9" i="16"/>
  <c r="E14" i="16"/>
  <c r="B13" i="16"/>
  <c r="B9" i="16"/>
  <c r="K108" i="15"/>
  <c r="D108" i="15"/>
  <c r="K107" i="15"/>
  <c r="D107" i="15"/>
  <c r="K106" i="15"/>
  <c r="D106" i="15"/>
  <c r="K105" i="15"/>
  <c r="D105" i="15"/>
  <c r="K104" i="15"/>
  <c r="D104" i="15"/>
  <c r="K103" i="15"/>
  <c r="D103" i="15"/>
  <c r="K102" i="15"/>
  <c r="D102" i="15"/>
  <c r="K101" i="15"/>
  <c r="D101" i="15"/>
  <c r="K100" i="15"/>
  <c r="D100" i="15"/>
  <c r="K99" i="15"/>
  <c r="D99" i="15"/>
  <c r="K98" i="15"/>
  <c r="D98" i="15"/>
  <c r="K97" i="15"/>
  <c r="D97" i="15"/>
  <c r="K96" i="15"/>
  <c r="D96" i="15"/>
  <c r="K95" i="15"/>
  <c r="D95" i="15"/>
  <c r="K94" i="15"/>
  <c r="D94" i="15"/>
  <c r="K93" i="15"/>
  <c r="D93" i="15"/>
  <c r="K92" i="15"/>
  <c r="D92" i="15"/>
  <c r="K91" i="15"/>
  <c r="D91" i="15"/>
  <c r="K90" i="15"/>
  <c r="D90" i="15"/>
  <c r="K89" i="15"/>
  <c r="D89" i="15"/>
  <c r="K88" i="15"/>
  <c r="D88" i="15"/>
  <c r="K87" i="15"/>
  <c r="D87" i="15"/>
  <c r="K86" i="15"/>
  <c r="D86" i="15"/>
  <c r="K85" i="15"/>
  <c r="D85" i="15"/>
  <c r="K84" i="15"/>
  <c r="D84" i="15"/>
  <c r="K83" i="15"/>
  <c r="D83" i="15"/>
  <c r="K82" i="15"/>
  <c r="D82" i="15"/>
  <c r="K81" i="15"/>
  <c r="D81" i="15"/>
  <c r="K80" i="15"/>
  <c r="D80" i="15"/>
  <c r="K79" i="15"/>
  <c r="D79" i="15"/>
  <c r="K78" i="15"/>
  <c r="D78" i="15"/>
  <c r="K77" i="15"/>
  <c r="D77" i="15"/>
  <c r="K76" i="15"/>
  <c r="D76" i="15"/>
  <c r="K75" i="15"/>
  <c r="D75" i="15"/>
  <c r="K74" i="15"/>
  <c r="D74" i="15"/>
  <c r="K73" i="15"/>
  <c r="D73" i="15"/>
  <c r="K72" i="15"/>
  <c r="K71" i="15"/>
  <c r="D71" i="15"/>
  <c r="K70" i="15"/>
  <c r="D70" i="15"/>
  <c r="K69" i="15"/>
  <c r="D69" i="15"/>
  <c r="K68" i="15"/>
  <c r="D68" i="15"/>
  <c r="K67" i="15"/>
  <c r="D67" i="15"/>
  <c r="K66" i="15"/>
  <c r="D66" i="15"/>
  <c r="K65" i="15"/>
  <c r="D65" i="15"/>
  <c r="K64" i="15"/>
  <c r="D64" i="15"/>
  <c r="K63" i="15"/>
  <c r="D63" i="15"/>
  <c r="K62" i="15"/>
  <c r="D62" i="15"/>
  <c r="K61" i="15"/>
  <c r="D61" i="15"/>
  <c r="K60" i="15"/>
  <c r="D60" i="15"/>
  <c r="K59" i="15"/>
  <c r="D59" i="15"/>
  <c r="K58" i="15"/>
  <c r="D58" i="15"/>
  <c r="K57" i="15"/>
  <c r="D57" i="15"/>
  <c r="K56" i="15"/>
  <c r="D56" i="15"/>
  <c r="K55" i="15"/>
  <c r="D55" i="15"/>
  <c r="K54" i="15"/>
  <c r="D54" i="15"/>
  <c r="D53" i="15"/>
  <c r="K52" i="15"/>
  <c r="D52" i="15"/>
  <c r="K51" i="15"/>
  <c r="D51" i="15"/>
  <c r="K50" i="15"/>
  <c r="D50" i="15"/>
  <c r="K49" i="15"/>
  <c r="D49" i="15"/>
  <c r="K48" i="15"/>
  <c r="D48" i="15"/>
  <c r="K47" i="15"/>
  <c r="D47" i="15"/>
  <c r="K46" i="15"/>
  <c r="D46" i="15"/>
  <c r="K45" i="15"/>
  <c r="K44" i="15"/>
  <c r="D44" i="15"/>
  <c r="K43" i="15"/>
  <c r="D43" i="15"/>
  <c r="K42" i="15"/>
  <c r="D42" i="15"/>
  <c r="K41" i="15"/>
  <c r="D41" i="15"/>
  <c r="K40" i="15"/>
  <c r="D40" i="15"/>
  <c r="K39" i="15"/>
  <c r="D39" i="15"/>
  <c r="K38" i="15"/>
  <c r="D38" i="15"/>
  <c r="K37" i="15"/>
  <c r="D37" i="15"/>
  <c r="K36" i="15"/>
  <c r="D36" i="15"/>
  <c r="K35" i="15"/>
  <c r="D35" i="15"/>
  <c r="K34" i="15"/>
  <c r="D34" i="15"/>
  <c r="K33" i="15"/>
  <c r="D33" i="15"/>
  <c r="K32" i="15"/>
  <c r="D32" i="15"/>
  <c r="K31" i="15"/>
  <c r="D31" i="15"/>
  <c r="K30" i="15"/>
  <c r="D30" i="15"/>
  <c r="D29" i="15"/>
  <c r="K28" i="15"/>
  <c r="D28" i="15"/>
  <c r="D27" i="15"/>
  <c r="K26" i="15"/>
  <c r="D26" i="15"/>
  <c r="K25" i="15"/>
  <c r="D25" i="15"/>
  <c r="D24" i="15"/>
  <c r="K23" i="15"/>
  <c r="D23" i="15"/>
  <c r="K22" i="15"/>
  <c r="D22" i="15"/>
  <c r="K21" i="15"/>
  <c r="D21" i="15"/>
  <c r="K20" i="15"/>
  <c r="D20" i="15"/>
  <c r="K19" i="15"/>
  <c r="D19" i="15"/>
  <c r="K18" i="15"/>
  <c r="D18" i="15"/>
  <c r="K17" i="15"/>
  <c r="K16" i="15"/>
  <c r="D16" i="15"/>
  <c r="K15" i="15"/>
  <c r="D15" i="15"/>
  <c r="K14" i="15"/>
  <c r="D14" i="15"/>
  <c r="K13" i="15"/>
  <c r="D13" i="15"/>
  <c r="K12" i="15"/>
  <c r="D12" i="15"/>
  <c r="K11" i="15"/>
  <c r="D11" i="15"/>
  <c r="K10" i="15"/>
  <c r="D10" i="15"/>
  <c r="K9" i="15"/>
  <c r="D9" i="15"/>
  <c r="K8" i="15"/>
  <c r="D8" i="15"/>
  <c r="K7" i="15"/>
  <c r="D7" i="15"/>
  <c r="K6" i="15"/>
  <c r="D6" i="15"/>
  <c r="K5" i="15"/>
  <c r="K4" i="15"/>
  <c r="D4" i="15"/>
  <c r="K3" i="15"/>
  <c r="D3" i="15"/>
  <c r="K2" i="15"/>
  <c r="D2" i="15"/>
  <c r="M110" i="15" l="1"/>
  <c r="N110" i="15" s="1"/>
  <c r="E15" i="16"/>
  <c r="D83" i="1"/>
  <c r="D105" i="1" l="1"/>
  <c r="L108" i="1" l="1"/>
  <c r="D108" i="1"/>
  <c r="L107" i="1"/>
  <c r="D107" i="1"/>
  <c r="L106" i="1"/>
  <c r="D106" i="1"/>
  <c r="L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E64" i="9" l="1"/>
  <c r="E38" i="9" l="1"/>
  <c r="D4" i="1"/>
  <c r="D3" i="1"/>
  <c r="D70" i="1"/>
  <c r="K17" i="13" l="1"/>
  <c r="K26" i="13"/>
  <c r="K7" i="13"/>
  <c r="K15" i="13"/>
  <c r="K27" i="13"/>
  <c r="K35" i="13"/>
  <c r="K50" i="13"/>
  <c r="K57" i="13"/>
  <c r="K62" i="13"/>
  <c r="K71" i="13"/>
  <c r="K2" i="13"/>
  <c r="K16" i="13"/>
  <c r="K24" i="13"/>
  <c r="K43" i="13"/>
  <c r="K49" i="13"/>
  <c r="K55" i="13"/>
  <c r="K10" i="13"/>
  <c r="K12" i="13"/>
  <c r="K13" i="13"/>
  <c r="K40" i="13"/>
  <c r="K41" i="13"/>
  <c r="K58" i="13"/>
  <c r="K65" i="13"/>
  <c r="K70" i="13"/>
  <c r="K76" i="13"/>
  <c r="K8" i="13"/>
  <c r="K23" i="13"/>
  <c r="K29" i="13"/>
  <c r="K37" i="13"/>
  <c r="K51" i="13"/>
  <c r="K56" i="13"/>
  <c r="K61" i="13"/>
  <c r="K69" i="13"/>
  <c r="K73" i="13"/>
  <c r="K74" i="13"/>
  <c r="K81" i="13"/>
  <c r="K3" i="13"/>
  <c r="K22" i="13"/>
  <c r="K28" i="13"/>
  <c r="K44" i="13"/>
  <c r="K47" i="13"/>
  <c r="K5" i="13"/>
  <c r="K19" i="13"/>
  <c r="K25" i="13"/>
  <c r="K39" i="13"/>
  <c r="K52" i="13"/>
  <c r="K11" i="13"/>
  <c r="K18" i="13"/>
  <c r="K30" i="13"/>
  <c r="K36" i="13"/>
  <c r="K46" i="13"/>
  <c r="K54" i="13"/>
  <c r="K63" i="13"/>
  <c r="K68" i="13"/>
  <c r="K77" i="13"/>
  <c r="K4" i="13"/>
  <c r="K20" i="13"/>
  <c r="K31" i="13"/>
  <c r="K38" i="13"/>
  <c r="K45" i="13"/>
  <c r="K59" i="13"/>
  <c r="K60" i="13"/>
  <c r="K66" i="13"/>
  <c r="K72" i="13"/>
  <c r="K79" i="13"/>
  <c r="K83" i="13"/>
  <c r="K84" i="13"/>
  <c r="K86" i="13"/>
  <c r="K88" i="13"/>
  <c r="K90" i="13"/>
  <c r="K93" i="13"/>
  <c r="K94" i="13"/>
  <c r="K97" i="13"/>
  <c r="K6" i="13"/>
  <c r="K21" i="13"/>
  <c r="K32" i="13"/>
  <c r="K33" i="13"/>
  <c r="K48" i="13"/>
  <c r="K53" i="13"/>
  <c r="K64" i="13"/>
  <c r="K67" i="13"/>
  <c r="K78" i="13"/>
  <c r="K80" i="13"/>
  <c r="K82" i="13"/>
  <c r="K85" i="13"/>
  <c r="K87" i="13"/>
  <c r="K89" i="13"/>
  <c r="K91" i="13"/>
  <c r="K92" i="13"/>
  <c r="K95" i="13"/>
  <c r="K96" i="13"/>
  <c r="K98" i="13"/>
  <c r="K99" i="13"/>
  <c r="K100" i="13"/>
  <c r="K101" i="13"/>
  <c r="K102" i="13"/>
  <c r="K103" i="13"/>
  <c r="K9" i="1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L9" i="9"/>
  <c r="L70" i="9"/>
  <c r="L75" i="9"/>
  <c r="L2" i="9"/>
  <c r="L3" i="9"/>
  <c r="L32" i="9"/>
  <c r="L16" i="9"/>
  <c r="L60" i="9"/>
  <c r="L62" i="9"/>
  <c r="L26" i="9"/>
  <c r="L28" i="9"/>
  <c r="L29" i="9"/>
  <c r="L15" i="9"/>
  <c r="L13" i="9"/>
  <c r="L39" i="9"/>
  <c r="L7" i="9"/>
  <c r="L11" i="9"/>
  <c r="L19" i="9"/>
  <c r="L47" i="9"/>
  <c r="L24" i="9"/>
  <c r="L22" i="9"/>
  <c r="L14" i="9"/>
  <c r="L25" i="9"/>
  <c r="L41" i="9"/>
  <c r="L20" i="9"/>
  <c r="L5" i="9"/>
  <c r="L6" i="9"/>
  <c r="L33" i="9"/>
  <c r="L31" i="9"/>
  <c r="L34" i="9"/>
  <c r="L57" i="9"/>
  <c r="L67" i="9"/>
  <c r="L56" i="9"/>
  <c r="L51" i="9"/>
  <c r="L50" i="9"/>
  <c r="L73" i="9"/>
  <c r="L52" i="9"/>
  <c r="L68" i="9"/>
  <c r="L23" i="9"/>
  <c r="L45" i="9"/>
  <c r="L43" i="9"/>
  <c r="L46" i="9"/>
  <c r="L27" i="9"/>
  <c r="L4" i="9"/>
  <c r="L21" i="9"/>
  <c r="L17" i="9"/>
  <c r="L61" i="9"/>
  <c r="L74" i="9"/>
  <c r="L53" i="9"/>
  <c r="L65" i="9"/>
  <c r="L48" i="9"/>
  <c r="L44" i="9"/>
  <c r="L72" i="9"/>
  <c r="L54" i="9"/>
  <c r="L18" i="9"/>
  <c r="L63" i="9"/>
  <c r="L42" i="9"/>
  <c r="L71" i="9"/>
  <c r="L40" i="9"/>
  <c r="L37" i="9"/>
  <c r="L49" i="9"/>
  <c r="L58" i="9"/>
  <c r="L66" i="9"/>
  <c r="L64" i="9"/>
  <c r="L10" i="9"/>
  <c r="L55" i="9"/>
  <c r="L30" i="9"/>
  <c r="L12" i="9"/>
  <c r="L36" i="9"/>
  <c r="L69" i="9"/>
  <c r="L35" i="9"/>
  <c r="L59" i="9"/>
  <c r="H105" i="11" l="1"/>
  <c r="H98" i="11"/>
  <c r="H21" i="11"/>
  <c r="H86" i="11"/>
  <c r="H2" i="11"/>
  <c r="H13" i="11"/>
  <c r="H52" i="11"/>
  <c r="H48" i="11"/>
  <c r="H30" i="11"/>
  <c r="H37" i="11"/>
  <c r="E9" i="9" l="1"/>
  <c r="E70" i="9"/>
  <c r="E75" i="9"/>
  <c r="E2" i="9"/>
  <c r="E3" i="9"/>
  <c r="E32" i="9"/>
  <c r="E16" i="9"/>
  <c r="E60" i="9"/>
  <c r="E62" i="9"/>
  <c r="E26" i="9"/>
  <c r="E28" i="9"/>
  <c r="E29" i="9"/>
  <c r="E15" i="9"/>
  <c r="E13" i="9"/>
  <c r="E39" i="9"/>
  <c r="E11" i="9"/>
  <c r="E8" i="9"/>
  <c r="E19" i="9"/>
  <c r="E47" i="9"/>
  <c r="E24" i="9"/>
  <c r="E22" i="9"/>
  <c r="E14" i="9"/>
  <c r="E25" i="9"/>
  <c r="E41" i="9"/>
  <c r="E20" i="9"/>
  <c r="E5" i="9"/>
  <c r="E6" i="9"/>
  <c r="E33" i="9"/>
  <c r="E31" i="9"/>
  <c r="E34" i="9"/>
  <c r="E57" i="9"/>
  <c r="E67" i="9"/>
  <c r="E56" i="9"/>
  <c r="E51" i="9"/>
  <c r="E50" i="9"/>
  <c r="E73" i="9"/>
  <c r="E52" i="9"/>
  <c r="E68" i="9"/>
  <c r="E23" i="9"/>
  <c r="E45" i="9"/>
  <c r="E43" i="9"/>
  <c r="E46" i="9"/>
  <c r="E27" i="9"/>
  <c r="E4" i="9"/>
  <c r="E21" i="9"/>
  <c r="E17" i="9"/>
  <c r="E61" i="9"/>
  <c r="E74" i="9"/>
  <c r="E53" i="9"/>
  <c r="E65" i="9"/>
  <c r="E48" i="9"/>
  <c r="E44" i="9"/>
  <c r="E72" i="9"/>
  <c r="E54" i="9"/>
  <c r="E18" i="9"/>
  <c r="E63" i="9"/>
  <c r="E42" i="9"/>
  <c r="E71" i="9"/>
  <c r="E40" i="9"/>
  <c r="E37" i="9"/>
  <c r="E49" i="9"/>
  <c r="E58" i="9"/>
  <c r="E66" i="9"/>
  <c r="E10" i="9"/>
  <c r="E55" i="9"/>
  <c r="E30" i="9"/>
  <c r="E12" i="9"/>
  <c r="E36" i="9"/>
  <c r="E69" i="9"/>
  <c r="E35" i="9"/>
  <c r="E59" i="9"/>
  <c r="D6" i="1"/>
  <c r="D2" i="1"/>
  <c r="D82" i="1" l="1"/>
  <c r="D84" i="1"/>
  <c r="D85" i="1"/>
  <c r="D86" i="1"/>
  <c r="D87" i="1"/>
  <c r="D88" i="1"/>
  <c r="D89" i="1"/>
  <c r="D90" i="1"/>
  <c r="D91" i="1"/>
  <c r="D73" i="1"/>
  <c r="D74" i="1"/>
  <c r="D75" i="1"/>
  <c r="D76" i="1"/>
  <c r="D77" i="1"/>
  <c r="D78" i="1"/>
  <c r="D79" i="1"/>
  <c r="D80" i="1"/>
  <c r="D81" i="1"/>
  <c r="D7" i="1" l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</calcChain>
</file>

<file path=xl/sharedStrings.xml><?xml version="1.0" encoding="utf-8"?>
<sst xmlns="http://schemas.openxmlformats.org/spreadsheetml/2006/main" count="3274" uniqueCount="1977">
  <si>
    <r>
      <t>WH01(251):2020-002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</si>
  <si>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610126003004GB00025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</si>
  <si>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KCJ2020-21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</si>
  <si>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t>No</t>
    <phoneticPr fontId="5" type="noConversion"/>
  </si>
  <si>
    <r>
      <t>R2020-005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</si>
  <si>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XT2020-36</t>
    </r>
    <r>
      <rPr>
        <sz val="11"/>
        <color indexed="8"/>
        <rFont val="宋体"/>
        <family val="3"/>
        <charset val="134"/>
      </rPr>
      <t>徐挖地块</t>
    </r>
    <phoneticPr fontId="5" type="noConversion"/>
  </si>
  <si>
    <r>
      <t>CR2020-009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</si>
  <si>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JY19-101/102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</si>
  <si>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2018-530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</si>
  <si>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CR20004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</si>
  <si>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CR20003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</si>
  <si>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JWJ20200202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</si>
  <si>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5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</si>
  <si>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P2019-36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</si>
  <si>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2020-028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</si>
  <si>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2020TDGP02R0010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</si>
  <si>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CF202015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</si>
  <si>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rPr>
        <sz val="11"/>
        <color theme="1"/>
        <rFont val="等线"/>
        <family val="2"/>
      </rPr>
      <t>日期</t>
    </r>
    <phoneticPr fontId="5" type="noConversion"/>
  </si>
  <si>
    <r>
      <rPr>
        <sz val="11"/>
        <color indexed="8"/>
        <rFont val="宋体"/>
        <family val="2"/>
      </rPr>
      <t>序号</t>
    </r>
  </si>
  <si>
    <r>
      <rPr>
        <sz val="11"/>
        <color indexed="8"/>
        <rFont val="宋体"/>
        <family val="2"/>
      </rPr>
      <t>城市</t>
    </r>
  </si>
  <si>
    <r>
      <rPr>
        <sz val="11"/>
        <color indexed="8"/>
        <rFont val="宋体"/>
        <family val="2"/>
      </rPr>
      <t>项目名称</t>
    </r>
    <phoneticPr fontId="5" type="noConversion"/>
  </si>
  <si>
    <r>
      <rPr>
        <sz val="11"/>
        <color indexed="8"/>
        <rFont val="宋体"/>
        <family val="2"/>
      </rPr>
      <t>位置</t>
    </r>
  </si>
  <si>
    <r>
      <rPr>
        <sz val="11"/>
        <color indexed="8"/>
        <rFont val="宋体"/>
        <family val="2"/>
      </rPr>
      <t>公司权益比例</t>
    </r>
  </si>
  <si>
    <r>
      <rPr>
        <sz val="11"/>
        <color indexed="8"/>
        <rFont val="宋体"/>
        <family val="2"/>
      </rPr>
      <t>规划建筑面积（万㎡）</t>
    </r>
  </si>
  <si>
    <r>
      <rPr>
        <sz val="11"/>
        <color indexed="8"/>
        <rFont val="宋体"/>
        <family val="1"/>
        <charset val="204"/>
      </rPr>
      <t>楼面价</t>
    </r>
    <phoneticPr fontId="5" type="noConversion"/>
  </si>
  <si>
    <r>
      <rPr>
        <sz val="11"/>
        <color indexed="8"/>
        <rFont val="宋体"/>
        <family val="2"/>
      </rPr>
      <t>徐州</t>
    </r>
  </si>
  <si>
    <r>
      <rPr>
        <sz val="11"/>
        <color indexed="8"/>
        <rFont val="宋体"/>
        <family val="2"/>
      </rPr>
      <t>青岛</t>
    </r>
  </si>
  <si>
    <r>
      <rPr>
        <sz val="11"/>
        <color indexed="8"/>
        <rFont val="宋体"/>
        <family val="2"/>
      </rPr>
      <t>即墨区</t>
    </r>
  </si>
  <si>
    <r>
      <rPr>
        <sz val="11"/>
        <color indexed="8"/>
        <rFont val="宋体"/>
        <family val="2"/>
      </rPr>
      <t>温州</t>
    </r>
  </si>
  <si>
    <r>
      <rPr>
        <sz val="11"/>
        <color indexed="8"/>
        <rFont val="宋体"/>
        <family val="1"/>
        <charset val="204"/>
      </rPr>
      <t>莘塍东单元</t>
    </r>
    <r>
      <rPr>
        <sz val="11"/>
        <color indexed="8"/>
        <rFont val="Arial"/>
        <family val="2"/>
      </rPr>
      <t>04-15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</si>
  <si>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瑞安市</t>
    </r>
  </si>
  <si>
    <r>
      <rPr>
        <sz val="11"/>
        <color indexed="8"/>
        <rFont val="宋体"/>
        <family val="2"/>
      </rPr>
      <t>宁波</t>
    </r>
  </si>
  <si>
    <r>
      <rPr>
        <sz val="11"/>
        <color indexed="8"/>
        <rFont val="宋体"/>
        <family val="2"/>
      </rPr>
      <t>余姚市</t>
    </r>
  </si>
  <si>
    <r>
      <rPr>
        <sz val="11"/>
        <color indexed="8"/>
        <rFont val="宋体"/>
        <family val="2"/>
      </rPr>
      <t>湖州</t>
    </r>
  </si>
  <si>
    <r>
      <rPr>
        <sz val="11"/>
        <color indexed="8"/>
        <rFont val="宋体"/>
        <family val="2"/>
      </rPr>
      <t>德清县</t>
    </r>
  </si>
  <si>
    <r>
      <rPr>
        <sz val="11"/>
        <color indexed="8"/>
        <rFont val="宋体"/>
        <family val="2"/>
      </rPr>
      <t>沈阳</t>
    </r>
  </si>
  <si>
    <r>
      <rPr>
        <sz val="11"/>
        <color indexed="8"/>
        <rFont val="宋体"/>
        <family val="1"/>
        <charset val="204"/>
      </rPr>
      <t>北四台子村二期</t>
    </r>
    <r>
      <rPr>
        <sz val="11"/>
        <color indexed="8"/>
        <rFont val="Arial"/>
        <family val="2"/>
      </rPr>
      <t>-1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</si>
  <si>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皇姑区</t>
    </r>
  </si>
  <si>
    <r>
      <rPr>
        <sz val="11"/>
        <color indexed="8"/>
        <rFont val="宋体"/>
        <family val="2"/>
      </rPr>
      <t>南通</t>
    </r>
  </si>
  <si>
    <r>
      <rPr>
        <sz val="11"/>
        <color indexed="8"/>
        <rFont val="宋体"/>
        <family val="2"/>
      </rPr>
      <t>海门市</t>
    </r>
  </si>
  <si>
    <r>
      <t>CR20005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</si>
  <si>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常州</t>
    </r>
  </si>
  <si>
    <r>
      <rPr>
        <sz val="11"/>
        <color indexed="8"/>
        <rFont val="宋体"/>
        <family val="2"/>
      </rPr>
      <t>武进区</t>
    </r>
  </si>
  <si>
    <r>
      <rPr>
        <sz val="11"/>
        <color indexed="8"/>
        <rFont val="宋体"/>
        <family val="1"/>
        <charset val="204"/>
      </rPr>
      <t>平阳购物消费集聚中心</t>
    </r>
    <r>
      <rPr>
        <sz val="11"/>
        <color indexed="8"/>
        <rFont val="Arial"/>
        <family val="2"/>
      </rPr>
      <t>E04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</si>
  <si>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平阳县</t>
    </r>
  </si>
  <si>
    <r>
      <rPr>
        <sz val="11"/>
        <color indexed="8"/>
        <rFont val="宋体"/>
        <family val="2"/>
      </rPr>
      <t>商丘</t>
    </r>
  </si>
  <si>
    <r>
      <rPr>
        <sz val="11"/>
        <color indexed="8"/>
        <rFont val="宋体"/>
        <family val="2"/>
      </rPr>
      <t>梁园区</t>
    </r>
  </si>
  <si>
    <r>
      <rPr>
        <sz val="11"/>
        <color indexed="8"/>
        <rFont val="宋体"/>
        <family val="2"/>
      </rPr>
      <t>南京</t>
    </r>
  </si>
  <si>
    <r>
      <t>2020G06</t>
    </r>
    <r>
      <rPr>
        <sz val="11"/>
        <color indexed="8"/>
        <rFont val="宋体"/>
        <family val="3"/>
        <charset val="134"/>
      </rPr>
      <t>江心洲</t>
    </r>
    <r>
      <rPr>
        <sz val="11"/>
        <color indexed="8"/>
        <rFont val="Arial"/>
        <family val="2"/>
      </rPr>
      <t>13-034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</si>
  <si>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rPr>
        <sz val="11"/>
        <color indexed="8"/>
        <rFont val="宋体"/>
        <family val="2"/>
      </rPr>
      <t>建邺区</t>
    </r>
  </si>
  <si>
    <r>
      <rPr>
        <sz val="11"/>
        <color indexed="8"/>
        <rFont val="宋体"/>
        <family val="2"/>
      </rPr>
      <t>通州区</t>
    </r>
  </si>
  <si>
    <r>
      <t>2019-108</t>
    </r>
    <r>
      <rPr>
        <sz val="11"/>
        <color indexed="8"/>
        <rFont val="宋体"/>
        <family val="3"/>
        <charset val="134"/>
      </rPr>
      <t>号丁万河</t>
    </r>
    <r>
      <rPr>
        <sz val="11"/>
        <color indexed="8"/>
        <rFont val="Arial"/>
        <family val="2"/>
      </rPr>
      <t>C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</si>
  <si>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rPr>
        <sz val="11"/>
        <color indexed="8"/>
        <rFont val="宋体"/>
        <family val="2"/>
      </rPr>
      <t>鼓楼区</t>
    </r>
  </si>
  <si>
    <r>
      <rPr>
        <sz val="11"/>
        <color indexed="8"/>
        <rFont val="宋体"/>
        <family val="1"/>
        <charset val="204"/>
      </rPr>
      <t>温审资中心土告字〔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〕</t>
    </r>
    <r>
      <rPr>
        <sz val="11"/>
        <color indexed="8"/>
        <rFont val="Arial"/>
        <family val="2"/>
      </rPr>
      <t>18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</si>
  <si>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开发区</t>
    </r>
  </si>
  <si>
    <r>
      <rPr>
        <sz val="11"/>
        <color indexed="8"/>
        <rFont val="宋体"/>
        <family val="2"/>
      </rPr>
      <t>绍兴</t>
    </r>
  </si>
  <si>
    <r>
      <rPr>
        <sz val="11"/>
        <color indexed="8"/>
        <rFont val="宋体"/>
        <family val="1"/>
        <charset val="204"/>
      </rPr>
      <t>绍市自然告字</t>
    </r>
    <r>
      <rPr>
        <sz val="11"/>
        <color indexed="8"/>
        <rFont val="Arial"/>
        <family val="2"/>
      </rPr>
      <t>[2020]10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</si>
  <si>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上虞区</t>
    </r>
  </si>
  <si>
    <r>
      <rPr>
        <sz val="11"/>
        <color indexed="8"/>
        <rFont val="宋体"/>
        <family val="2"/>
      </rPr>
      <t>绍市自然告字</t>
    </r>
    <r>
      <rPr>
        <sz val="11"/>
        <color indexed="8"/>
        <rFont val="Arial"/>
        <family val="2"/>
      </rPr>
      <t>[2020]5</t>
    </r>
    <r>
      <rPr>
        <sz val="11"/>
        <color indexed="8"/>
        <rFont val="宋体"/>
        <family val="2"/>
      </rPr>
      <t>号地块</t>
    </r>
    <phoneticPr fontId="5" type="noConversion"/>
  </si>
  <si>
    <r>
      <rPr>
        <sz val="11"/>
        <color indexed="8"/>
        <rFont val="宋体"/>
        <family val="2"/>
      </rPr>
      <t>柯桥区</t>
    </r>
    <phoneticPr fontId="5" type="noConversion"/>
  </si>
  <si>
    <r>
      <rPr>
        <sz val="11"/>
        <color indexed="8"/>
        <rFont val="宋体"/>
        <family val="2"/>
      </rPr>
      <t>成都</t>
    </r>
  </si>
  <si>
    <r>
      <rPr>
        <sz val="11"/>
        <color indexed="8"/>
        <rFont val="宋体"/>
        <family val="2"/>
      </rPr>
      <t>武侯区</t>
    </r>
  </si>
  <si>
    <r>
      <rPr>
        <sz val="11"/>
        <color indexed="8"/>
        <rFont val="宋体"/>
        <family val="2"/>
      </rPr>
      <t>西安</t>
    </r>
  </si>
  <si>
    <r>
      <rPr>
        <sz val="11"/>
        <color indexed="8"/>
        <rFont val="宋体"/>
        <family val="2"/>
      </rPr>
      <t>高陵区</t>
    </r>
  </si>
  <si>
    <r>
      <rPr>
        <sz val="11"/>
        <color indexed="8"/>
        <rFont val="宋体"/>
        <family val="2"/>
      </rPr>
      <t>福州</t>
    </r>
  </si>
  <si>
    <r>
      <t>2020</t>
    </r>
    <r>
      <rPr>
        <sz val="11"/>
        <color indexed="8"/>
        <rFont val="宋体"/>
        <family val="3"/>
        <charset val="134"/>
      </rPr>
      <t>拍</t>
    </r>
    <r>
      <rPr>
        <sz val="11"/>
        <color indexed="8"/>
        <rFont val="Arial"/>
        <family val="2"/>
      </rPr>
      <t>-03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</si>
  <si>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rPr>
        <sz val="11"/>
        <color indexed="8"/>
        <rFont val="宋体"/>
        <family val="2"/>
      </rPr>
      <t>福清县</t>
    </r>
  </si>
  <si>
    <r>
      <rPr>
        <sz val="11"/>
        <color indexed="8"/>
        <rFont val="宋体"/>
        <family val="2"/>
      </rPr>
      <t>泉州</t>
    </r>
  </si>
  <si>
    <r>
      <rPr>
        <sz val="11"/>
        <color indexed="8"/>
        <rFont val="宋体"/>
        <family val="2"/>
      </rPr>
      <t>晋江市</t>
    </r>
  </si>
  <si>
    <r>
      <rPr>
        <sz val="11"/>
        <color indexed="8"/>
        <rFont val="宋体"/>
        <family val="2"/>
      </rPr>
      <t>临沂</t>
    </r>
  </si>
  <si>
    <r>
      <rPr>
        <sz val="11"/>
        <color indexed="8"/>
        <rFont val="宋体"/>
        <family val="2"/>
      </rPr>
      <t>兰山区</t>
    </r>
  </si>
  <si>
    <r>
      <rPr>
        <sz val="11"/>
        <color indexed="8"/>
        <rFont val="宋体"/>
        <family val="2"/>
      </rPr>
      <t>杭州</t>
    </r>
  </si>
  <si>
    <r>
      <rPr>
        <sz val="11"/>
        <color indexed="8"/>
        <rFont val="宋体"/>
        <family val="1"/>
        <charset val="204"/>
      </rPr>
      <t>洋溪</t>
    </r>
    <r>
      <rPr>
        <sz val="11"/>
        <color indexed="8"/>
        <rFont val="Arial"/>
        <family val="2"/>
      </rPr>
      <t>S-4-3</t>
    </r>
    <r>
      <rPr>
        <sz val="11"/>
        <color indexed="8"/>
        <rFont val="宋体"/>
        <family val="1"/>
        <charset val="204"/>
      </rPr>
      <t>地块</t>
    </r>
    <r>
      <rPr>
        <sz val="11"/>
        <color indexed="8"/>
        <rFont val="Arial"/>
        <family val="2"/>
      </rPr>
      <t>(26</t>
    </r>
    <r>
      <rPr>
        <sz val="11"/>
        <color indexed="8"/>
        <rFont val="宋体"/>
        <family val="1"/>
        <charset val="204"/>
      </rPr>
      <t>号</t>
    </r>
    <r>
      <rPr>
        <sz val="11"/>
        <color indexed="8"/>
        <rFont val="Arial"/>
        <family val="2"/>
      </rPr>
      <t>)</t>
    </r>
    <phoneticPr fontId="5" type="noConversion"/>
  </si>
  <si>
    <r>
      <rPr>
        <sz val="11"/>
        <color indexed="8"/>
        <rFont val="宋体"/>
        <family val="2"/>
      </rPr>
      <t>建德市</t>
    </r>
  </si>
  <si>
    <r>
      <rPr>
        <sz val="11"/>
        <color indexed="8"/>
        <rFont val="宋体"/>
        <family val="2"/>
      </rPr>
      <t>济南</t>
    </r>
  </si>
  <si>
    <r>
      <rPr>
        <sz val="11"/>
        <color indexed="8"/>
        <rFont val="宋体"/>
        <family val="2"/>
      </rPr>
      <t>历下区</t>
    </r>
  </si>
  <si>
    <r>
      <t>2020TDGP02R0011</t>
    </r>
    <r>
      <rPr>
        <sz val="11"/>
        <color indexed="8"/>
        <rFont val="Times New Roman"/>
        <family val="1"/>
        <charset val="204"/>
      </rPr>
      <t>地块</t>
    </r>
  </si>
  <si>
    <r>
      <t>2020TDGP02R0012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</si>
  <si>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重庆</t>
    </r>
  </si>
  <si>
    <r>
      <rPr>
        <sz val="11"/>
        <color indexed="8"/>
        <rFont val="宋体"/>
        <family val="1"/>
        <charset val="204"/>
      </rPr>
      <t>大渡口组团</t>
    </r>
    <r>
      <rPr>
        <sz val="11"/>
        <color indexed="8"/>
        <rFont val="Arial"/>
        <family val="2"/>
      </rPr>
      <t>H</t>
    </r>
    <r>
      <rPr>
        <sz val="11"/>
        <color indexed="8"/>
        <rFont val="宋体"/>
        <family val="1"/>
        <charset val="204"/>
      </rPr>
      <t>分区</t>
    </r>
    <r>
      <rPr>
        <sz val="11"/>
        <color indexed="8"/>
        <rFont val="Arial"/>
        <family val="2"/>
      </rPr>
      <t>H12-8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H12-10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H12-6-1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H12-6-2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H14-2-1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</si>
  <si>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大渡口区</t>
    </r>
  </si>
  <si>
    <r>
      <rPr>
        <sz val="11"/>
        <color indexed="8"/>
        <rFont val="宋体"/>
        <family val="1"/>
        <charset val="204"/>
      </rPr>
      <t>大丰</t>
    </r>
    <r>
      <rPr>
        <sz val="11"/>
        <color indexed="8"/>
        <rFont val="Arial"/>
        <family val="2"/>
      </rPr>
      <t>54</t>
    </r>
    <r>
      <rPr>
        <sz val="11"/>
        <color indexed="8"/>
        <rFont val="宋体"/>
        <family val="1"/>
        <charset val="204"/>
      </rPr>
      <t>亩地块</t>
    </r>
    <phoneticPr fontId="5" type="noConversion"/>
  </si>
  <si>
    <r>
      <rPr>
        <sz val="11"/>
        <color indexed="8"/>
        <rFont val="宋体"/>
        <family val="2"/>
      </rPr>
      <t>新都区</t>
    </r>
  </si>
  <si>
    <r>
      <rPr>
        <sz val="11"/>
        <color indexed="8"/>
        <rFont val="宋体"/>
        <family val="1"/>
        <charset val="204"/>
      </rPr>
      <t>凤凰山</t>
    </r>
    <r>
      <rPr>
        <sz val="11"/>
        <color indexed="8"/>
        <rFont val="Arial"/>
        <family val="2"/>
      </rPr>
      <t>8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</si>
  <si>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经济技术开发区</t>
    </r>
    <phoneticPr fontId="5" type="noConversion"/>
  </si>
  <si>
    <r>
      <rPr>
        <sz val="11"/>
        <color indexed="8"/>
        <rFont val="宋体"/>
        <family val="1"/>
        <charset val="204"/>
      </rPr>
      <t>凤凰山</t>
    </r>
    <r>
      <rPr>
        <sz val="11"/>
        <color indexed="8"/>
        <rFont val="Arial"/>
        <family val="2"/>
      </rPr>
      <t>7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</si>
  <si>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嘉兴</t>
    </r>
  </si>
  <si>
    <r>
      <rPr>
        <sz val="11"/>
        <color indexed="8"/>
        <rFont val="宋体"/>
        <family val="1"/>
        <charset val="204"/>
      </rPr>
      <t>乍</t>
    </r>
    <r>
      <rPr>
        <sz val="11"/>
        <color indexed="8"/>
        <rFont val="Arial"/>
        <family val="2"/>
      </rPr>
      <t>2020-16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</si>
  <si>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嘉兴港区</t>
    </r>
  </si>
  <si>
    <r>
      <rPr>
        <sz val="11"/>
        <color indexed="8"/>
        <rFont val="宋体"/>
        <family val="1"/>
        <charset val="204"/>
      </rPr>
      <t>诸市自然告字</t>
    </r>
    <r>
      <rPr>
        <sz val="11"/>
        <color indexed="8"/>
        <rFont val="Arial"/>
        <family val="2"/>
      </rPr>
      <t>[2020]13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</si>
  <si>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诸暨市</t>
    </r>
  </si>
  <si>
    <r>
      <rPr>
        <sz val="11"/>
        <color indexed="8"/>
        <rFont val="宋体"/>
        <family val="1"/>
        <charset val="204"/>
      </rPr>
      <t>新城</t>
    </r>
    <r>
      <rPr>
        <sz val="11"/>
        <color indexed="8"/>
        <rFont val="Arial"/>
        <family val="2"/>
      </rPr>
      <t>XC-6-31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</si>
  <si>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龙港市</t>
    </r>
  </si>
  <si>
    <r>
      <rPr>
        <sz val="11"/>
        <color indexed="8"/>
        <rFont val="宋体"/>
        <family val="2"/>
      </rPr>
      <t>威海</t>
    </r>
  </si>
  <si>
    <r>
      <rPr>
        <sz val="11"/>
        <color indexed="8"/>
        <rFont val="宋体"/>
        <family val="1"/>
        <charset val="204"/>
      </rPr>
      <t>威自然资经挂（临）字【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】</t>
    </r>
    <r>
      <rPr>
        <sz val="11"/>
        <color indexed="8"/>
        <rFont val="Arial"/>
        <family val="2"/>
      </rPr>
      <t>2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</si>
  <si>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烟台</t>
    </r>
  </si>
  <si>
    <r>
      <rPr>
        <sz val="11"/>
        <color indexed="8"/>
        <rFont val="宋体"/>
        <family val="2"/>
      </rPr>
      <t>莱山区</t>
    </r>
  </si>
  <si>
    <r>
      <rPr>
        <sz val="11"/>
        <color indexed="8"/>
        <rFont val="宋体"/>
        <family val="2"/>
      </rPr>
      <t>睢阳区</t>
    </r>
  </si>
  <si>
    <r>
      <rPr>
        <sz val="11"/>
        <color indexed="8"/>
        <rFont val="宋体"/>
        <family val="2"/>
      </rPr>
      <t>南宁</t>
    </r>
  </si>
  <si>
    <r>
      <rPr>
        <sz val="11"/>
        <color indexed="8"/>
        <rFont val="宋体"/>
        <family val="2"/>
      </rPr>
      <t>良庆区</t>
    </r>
  </si>
  <si>
    <r>
      <rPr>
        <sz val="11"/>
        <color indexed="8"/>
        <rFont val="宋体"/>
        <family val="2"/>
      </rPr>
      <t>佛山</t>
    </r>
  </si>
  <si>
    <r>
      <rPr>
        <sz val="11"/>
        <color indexed="8"/>
        <rFont val="宋体"/>
        <family val="2"/>
      </rPr>
      <t>顺德区</t>
    </r>
  </si>
  <si>
    <r>
      <rPr>
        <sz val="11"/>
        <color indexed="8"/>
        <rFont val="宋体"/>
        <family val="2"/>
      </rPr>
      <t>江门</t>
    </r>
  </si>
  <si>
    <r>
      <t>JCR2020-56</t>
    </r>
    <r>
      <rPr>
        <sz val="11"/>
        <color indexed="8"/>
        <rFont val="宋体"/>
        <family val="3"/>
        <charset val="134"/>
      </rPr>
      <t>（新会</t>
    </r>
    <r>
      <rPr>
        <sz val="11"/>
        <color indexed="8"/>
        <rFont val="Arial"/>
        <family val="2"/>
      </rPr>
      <t>13</t>
    </r>
    <r>
      <rPr>
        <sz val="11"/>
        <color indexed="8"/>
        <rFont val="宋体"/>
        <family val="3"/>
        <charset val="134"/>
      </rPr>
      <t>）号地块</t>
    </r>
    <phoneticPr fontId="5" type="noConversion"/>
  </si>
  <si>
    <r>
      <rPr>
        <sz val="11"/>
        <color indexed="8"/>
        <rFont val="宋体"/>
        <family val="2"/>
      </rPr>
      <t>儋州</t>
    </r>
  </si>
  <si>
    <r>
      <rPr>
        <sz val="11"/>
        <color indexed="8"/>
        <rFont val="宋体"/>
        <family val="2"/>
      </rPr>
      <t>那大镇</t>
    </r>
  </si>
  <si>
    <r>
      <rPr>
        <sz val="11"/>
        <color indexed="8"/>
        <rFont val="宋体"/>
        <family val="2"/>
      </rPr>
      <t>高淳区</t>
    </r>
  </si>
  <si>
    <r>
      <rPr>
        <sz val="11"/>
        <color indexed="8"/>
        <rFont val="宋体"/>
        <family val="2"/>
      </rPr>
      <t>无锡</t>
    </r>
  </si>
  <si>
    <r>
      <rPr>
        <sz val="11"/>
        <color indexed="8"/>
        <rFont val="宋体"/>
        <family val="2"/>
      </rPr>
      <t>江阴市</t>
    </r>
  </si>
  <si>
    <r>
      <rPr>
        <sz val="11"/>
        <color indexed="8"/>
        <rFont val="宋体"/>
        <family val="2"/>
      </rPr>
      <t>天宁区</t>
    </r>
  </si>
  <si>
    <r>
      <rPr>
        <sz val="11"/>
        <color indexed="8"/>
        <rFont val="宋体"/>
        <family val="2"/>
      </rPr>
      <t>宿迁</t>
    </r>
  </si>
  <si>
    <r>
      <rPr>
        <sz val="11"/>
        <color indexed="8"/>
        <rFont val="宋体"/>
        <family val="2"/>
      </rPr>
      <t>宿城新区</t>
    </r>
  </si>
  <si>
    <r>
      <rPr>
        <sz val="11"/>
        <color indexed="8"/>
        <rFont val="宋体"/>
        <family val="2"/>
      </rPr>
      <t>台州</t>
    </r>
  </si>
  <si>
    <r>
      <rPr>
        <sz val="11"/>
        <color indexed="8"/>
        <rFont val="宋体"/>
        <family val="2"/>
      </rPr>
      <t>临海市</t>
    </r>
  </si>
  <si>
    <r>
      <rPr>
        <sz val="11"/>
        <color indexed="8"/>
        <rFont val="宋体"/>
        <family val="2"/>
      </rPr>
      <t>淮南</t>
    </r>
  </si>
  <si>
    <r>
      <rPr>
        <sz val="11"/>
        <color indexed="8"/>
        <rFont val="宋体"/>
        <family val="2"/>
      </rPr>
      <t>山南新区</t>
    </r>
  </si>
  <si>
    <r>
      <rPr>
        <sz val="11"/>
        <color indexed="8"/>
        <rFont val="宋体"/>
        <family val="1"/>
        <charset val="204"/>
      </rPr>
      <t>威自然资经挂（临）字〔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〕</t>
    </r>
    <r>
      <rPr>
        <sz val="11"/>
        <color indexed="8"/>
        <rFont val="Arial"/>
        <family val="2"/>
      </rPr>
      <t>4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</si>
  <si>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昆明</t>
    </r>
  </si>
  <si>
    <r>
      <rPr>
        <sz val="11"/>
        <color indexed="8"/>
        <rFont val="宋体"/>
        <family val="2"/>
      </rPr>
      <t>盘龙区</t>
    </r>
  </si>
  <si>
    <r>
      <rPr>
        <sz val="11"/>
        <color indexed="8"/>
        <rFont val="宋体"/>
        <family val="2"/>
      </rPr>
      <t>贵阳</t>
    </r>
  </si>
  <si>
    <r>
      <rPr>
        <sz val="11"/>
        <color indexed="8"/>
        <rFont val="宋体"/>
        <family val="2"/>
      </rPr>
      <t>新北区</t>
    </r>
  </si>
  <si>
    <r>
      <rPr>
        <sz val="11"/>
        <color indexed="8"/>
        <rFont val="宋体"/>
        <family val="2"/>
      </rPr>
      <t>苏州</t>
    </r>
  </si>
  <si>
    <r>
      <rPr>
        <sz val="11"/>
        <color indexed="8"/>
        <rFont val="宋体"/>
        <family val="2"/>
      </rPr>
      <t>太仓市</t>
    </r>
  </si>
  <si>
    <r>
      <rPr>
        <sz val="11"/>
        <color indexed="8"/>
        <rFont val="宋体"/>
        <family val="2"/>
      </rPr>
      <t>泰州</t>
    </r>
  </si>
  <si>
    <r>
      <rPr>
        <sz val="11"/>
        <color indexed="8"/>
        <rFont val="宋体"/>
        <family val="2"/>
      </rPr>
      <t>海陵区</t>
    </r>
  </si>
  <si>
    <r>
      <rPr>
        <sz val="11"/>
        <color indexed="8"/>
        <rFont val="宋体"/>
        <family val="2"/>
      </rPr>
      <t>铜山区</t>
    </r>
  </si>
  <si>
    <r>
      <rPr>
        <sz val="11"/>
        <color indexed="8"/>
        <rFont val="宋体"/>
        <family val="2"/>
      </rPr>
      <t>盐城</t>
    </r>
  </si>
  <si>
    <r>
      <rPr>
        <sz val="11"/>
        <color indexed="8"/>
        <rFont val="宋体"/>
        <family val="2"/>
      </rPr>
      <t>城南新区</t>
    </r>
  </si>
  <si>
    <r>
      <rPr>
        <sz val="11"/>
        <color indexed="8"/>
        <rFont val="宋体"/>
        <family val="2"/>
      </rPr>
      <t>合肥</t>
    </r>
  </si>
  <si>
    <r>
      <rPr>
        <sz val="11"/>
        <color indexed="8"/>
        <rFont val="宋体"/>
        <family val="2"/>
      </rPr>
      <t>长丰县</t>
    </r>
  </si>
  <si>
    <r>
      <rPr>
        <sz val="11"/>
        <color indexed="8"/>
        <rFont val="宋体"/>
        <family val="2"/>
      </rPr>
      <t>莆田</t>
    </r>
  </si>
  <si>
    <r>
      <t>PS</t>
    </r>
    <r>
      <rPr>
        <sz val="11"/>
        <color indexed="8"/>
        <rFont val="宋体"/>
        <family val="3"/>
        <charset val="134"/>
      </rPr>
      <t>拍</t>
    </r>
    <r>
      <rPr>
        <sz val="11"/>
        <color indexed="8"/>
        <rFont val="Arial"/>
        <family val="2"/>
      </rPr>
      <t>-2020-21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</si>
  <si>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rPr>
        <sz val="11"/>
        <color indexed="8"/>
        <rFont val="宋体"/>
        <family val="2"/>
      </rPr>
      <t>相城区</t>
    </r>
  </si>
  <si>
    <r>
      <rPr>
        <sz val="11"/>
        <color indexed="8"/>
        <rFont val="宋体"/>
        <family val="2"/>
      </rPr>
      <t>苏地</t>
    </r>
    <r>
      <rPr>
        <sz val="11"/>
        <color indexed="8"/>
        <rFont val="Arial"/>
        <family val="2"/>
      </rPr>
      <t xml:space="preserve"> 2020-WG-66 </t>
    </r>
    <r>
      <rPr>
        <sz val="11"/>
        <color indexed="8"/>
        <rFont val="宋体"/>
        <family val="2"/>
      </rPr>
      <t>号地块</t>
    </r>
  </si>
  <si>
    <r>
      <rPr>
        <sz val="11"/>
        <color indexed="8"/>
        <rFont val="宋体"/>
        <family val="2"/>
      </rPr>
      <t>张家港市</t>
    </r>
  </si>
  <si>
    <r>
      <rPr>
        <sz val="11"/>
        <color indexed="8"/>
        <rFont val="宋体"/>
        <family val="2"/>
      </rPr>
      <t>长安区</t>
    </r>
  </si>
  <si>
    <r>
      <rPr>
        <sz val="11"/>
        <color indexed="8"/>
        <rFont val="宋体"/>
        <family val="2"/>
      </rPr>
      <t>常德</t>
    </r>
  </si>
  <si>
    <r>
      <rPr>
        <sz val="11"/>
        <color indexed="8"/>
        <rFont val="宋体"/>
        <family val="2"/>
      </rPr>
      <t>武陵区</t>
    </r>
  </si>
  <si>
    <r>
      <t xml:space="preserve">P2020-5 </t>
    </r>
    <r>
      <rPr>
        <sz val="11"/>
        <color indexed="8"/>
        <rFont val="宋体"/>
        <family val="2"/>
      </rPr>
      <t>号地块</t>
    </r>
  </si>
  <si>
    <r>
      <rPr>
        <sz val="11"/>
        <color indexed="8"/>
        <rFont val="宋体"/>
        <family val="2"/>
      </rPr>
      <t>江宁区</t>
    </r>
  </si>
  <si>
    <r>
      <rPr>
        <sz val="11"/>
        <color indexed="8"/>
        <rFont val="宋体"/>
        <family val="2"/>
      </rPr>
      <t>海安市</t>
    </r>
  </si>
  <si>
    <r>
      <rPr>
        <sz val="11"/>
        <color indexed="8"/>
        <rFont val="宋体"/>
        <family val="2"/>
      </rPr>
      <t>扬州</t>
    </r>
  </si>
  <si>
    <r>
      <rPr>
        <sz val="11"/>
        <color indexed="8"/>
        <rFont val="宋体"/>
        <family val="2"/>
      </rPr>
      <t>广陵区</t>
    </r>
  </si>
  <si>
    <r>
      <rPr>
        <sz val="11"/>
        <color indexed="8"/>
        <rFont val="宋体"/>
        <family val="2"/>
      </rPr>
      <t>宣城</t>
    </r>
  </si>
  <si>
    <r>
      <rPr>
        <sz val="11"/>
        <color indexed="8"/>
        <rFont val="宋体"/>
        <family val="2"/>
      </rPr>
      <t>宁国市</t>
    </r>
  </si>
  <si>
    <r>
      <t xml:space="preserve">2020-216 </t>
    </r>
    <r>
      <rPr>
        <sz val="11"/>
        <color indexed="8"/>
        <rFont val="宋体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</si>
  <si>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贵阳</t>
    </r>
  </si>
  <si>
    <r>
      <rPr>
        <sz val="11"/>
        <color theme="1"/>
        <rFont val="等线"/>
        <family val="2"/>
      </rPr>
      <t>宝鸡</t>
    </r>
  </si>
  <si>
    <r>
      <rPr>
        <sz val="11"/>
        <color theme="1"/>
        <rFont val="等线"/>
        <family val="2"/>
      </rPr>
      <t>绍兴</t>
    </r>
  </si>
  <si>
    <r>
      <rPr>
        <sz val="11"/>
        <color theme="1"/>
        <rFont val="等线"/>
        <family val="2"/>
      </rPr>
      <t>青岛</t>
    </r>
  </si>
  <si>
    <r>
      <rPr>
        <sz val="11"/>
        <color theme="1"/>
        <rFont val="等线"/>
        <family val="2"/>
      </rPr>
      <t>黄岛区</t>
    </r>
  </si>
  <si>
    <r>
      <rPr>
        <sz val="11"/>
        <color theme="1"/>
        <rFont val="等线"/>
        <family val="2"/>
      </rPr>
      <t>盘龙区</t>
    </r>
  </si>
  <si>
    <r>
      <rPr>
        <sz val="11"/>
        <color theme="1"/>
        <rFont val="等线"/>
        <family val="2"/>
      </rPr>
      <t>怀远县</t>
    </r>
  </si>
  <si>
    <r>
      <rPr>
        <sz val="11"/>
        <color theme="1"/>
        <rFont val="等线"/>
        <family val="2"/>
      </rPr>
      <t>吴兴区</t>
    </r>
  </si>
  <si>
    <r>
      <rPr>
        <sz val="11"/>
        <color theme="1"/>
        <rFont val="等线"/>
        <family val="2"/>
      </rPr>
      <t>序号</t>
    </r>
  </si>
  <si>
    <r>
      <rPr>
        <sz val="11"/>
        <color theme="1"/>
        <rFont val="等线"/>
        <family val="2"/>
      </rPr>
      <t>城市</t>
    </r>
  </si>
  <si>
    <r>
      <rPr>
        <sz val="11"/>
        <color theme="1"/>
        <rFont val="等线"/>
        <family val="2"/>
      </rPr>
      <t>项目名称</t>
    </r>
  </si>
  <si>
    <r>
      <rPr>
        <sz val="11"/>
        <color theme="1"/>
        <rFont val="等线"/>
        <family val="2"/>
      </rPr>
      <t>位置</t>
    </r>
  </si>
  <si>
    <r>
      <rPr>
        <sz val="11"/>
        <color theme="1"/>
        <rFont val="等线"/>
        <family val="2"/>
      </rPr>
      <t>公司权益比例</t>
    </r>
  </si>
  <si>
    <r>
      <rPr>
        <sz val="11"/>
        <color theme="1"/>
        <rFont val="等线"/>
        <family val="2"/>
      </rPr>
      <t>占地面积
（万㎡）</t>
    </r>
  </si>
  <si>
    <r>
      <rPr>
        <sz val="11"/>
        <color theme="1"/>
        <rFont val="等线"/>
        <family val="2"/>
      </rPr>
      <t>计容建筑面积（万㎡）</t>
    </r>
    <phoneticPr fontId="5" type="noConversion"/>
  </si>
  <si>
    <r>
      <rPr>
        <sz val="11"/>
        <color theme="1"/>
        <rFont val="等线"/>
        <family val="2"/>
      </rPr>
      <t>楼面价</t>
    </r>
    <phoneticPr fontId="5" type="noConversion"/>
  </si>
  <si>
    <r>
      <rPr>
        <sz val="11"/>
        <color theme="1"/>
        <rFont val="等线"/>
        <family val="2"/>
      </rPr>
      <t>泉州</t>
    </r>
  </si>
  <si>
    <r>
      <rPr>
        <sz val="11"/>
        <color theme="1"/>
        <rFont val="等线"/>
        <family val="2"/>
      </rPr>
      <t>南明区</t>
    </r>
  </si>
  <si>
    <r>
      <rPr>
        <sz val="11"/>
        <color theme="1"/>
        <rFont val="等线"/>
        <family val="2"/>
      </rPr>
      <t>惠州</t>
    </r>
  </si>
  <si>
    <r>
      <rPr>
        <sz val="11"/>
        <color theme="1"/>
        <rFont val="等线"/>
        <family val="2"/>
      </rPr>
      <t>烟台</t>
    </r>
  </si>
  <si>
    <r>
      <rPr>
        <sz val="11"/>
        <color theme="1"/>
        <rFont val="等线"/>
        <family val="2"/>
      </rPr>
      <t>龙口市</t>
    </r>
  </si>
  <si>
    <r>
      <rPr>
        <sz val="11"/>
        <color theme="1"/>
        <rFont val="等线"/>
        <family val="2"/>
      </rPr>
      <t>杭州</t>
    </r>
  </si>
  <si>
    <r>
      <rPr>
        <sz val="11"/>
        <color theme="1"/>
        <rFont val="等线"/>
        <family val="2"/>
      </rPr>
      <t>江干区</t>
    </r>
  </si>
  <si>
    <r>
      <rPr>
        <sz val="11"/>
        <color theme="1"/>
        <rFont val="等线"/>
        <family val="2"/>
      </rPr>
      <t>西安</t>
    </r>
  </si>
  <si>
    <r>
      <rPr>
        <sz val="11"/>
        <color theme="1"/>
        <rFont val="等线"/>
        <family val="2"/>
      </rPr>
      <t>未央区</t>
    </r>
  </si>
  <si>
    <r>
      <rPr>
        <sz val="11"/>
        <color theme="1"/>
        <rFont val="等线"/>
        <family val="2"/>
      </rPr>
      <t>济南</t>
    </r>
  </si>
  <si>
    <r>
      <rPr>
        <sz val="11"/>
        <color theme="1"/>
        <rFont val="等线"/>
        <family val="2"/>
      </rPr>
      <t>市中区</t>
    </r>
  </si>
  <si>
    <r>
      <rPr>
        <sz val="11"/>
        <color theme="1"/>
        <rFont val="等线"/>
        <family val="2"/>
      </rPr>
      <t>厦门</t>
    </r>
  </si>
  <si>
    <r>
      <rPr>
        <sz val="11"/>
        <color theme="1"/>
        <rFont val="等线"/>
        <family val="2"/>
      </rPr>
      <t>翔安区</t>
    </r>
  </si>
  <si>
    <r>
      <rPr>
        <sz val="11"/>
        <color theme="1"/>
        <rFont val="等线"/>
        <family val="2"/>
      </rPr>
      <t>眉县</t>
    </r>
  </si>
  <si>
    <r>
      <rPr>
        <sz val="11"/>
        <color theme="1"/>
        <rFont val="等线"/>
        <family val="2"/>
      </rPr>
      <t>盐城</t>
    </r>
  </si>
  <si>
    <r>
      <rPr>
        <sz val="11"/>
        <color theme="1"/>
        <rFont val="等线"/>
        <family val="2"/>
      </rPr>
      <t>东台市</t>
    </r>
  </si>
  <si>
    <r>
      <rPr>
        <sz val="11"/>
        <color theme="1"/>
        <rFont val="等线"/>
        <family val="2"/>
      </rPr>
      <t>南通</t>
    </r>
  </si>
  <si>
    <r>
      <rPr>
        <sz val="11"/>
        <color theme="1"/>
        <rFont val="等线"/>
        <family val="2"/>
      </rPr>
      <t>海门市</t>
    </r>
  </si>
  <si>
    <r>
      <rPr>
        <sz val="11"/>
        <color theme="1"/>
        <rFont val="等线"/>
        <family val="2"/>
      </rPr>
      <t>海安市</t>
    </r>
  </si>
  <si>
    <r>
      <rPr>
        <sz val="11"/>
        <color theme="1"/>
        <rFont val="等线"/>
        <family val="2"/>
      </rPr>
      <t>镇江</t>
    </r>
  </si>
  <si>
    <r>
      <rPr>
        <sz val="11"/>
        <color theme="1"/>
        <rFont val="等线"/>
        <family val="2"/>
      </rPr>
      <t>润州区</t>
    </r>
  </si>
  <si>
    <r>
      <rPr>
        <sz val="11"/>
        <color theme="1"/>
        <rFont val="等线"/>
        <family val="2"/>
      </rPr>
      <t>淮安</t>
    </r>
  </si>
  <si>
    <r>
      <rPr>
        <sz val="11"/>
        <color theme="1"/>
        <rFont val="等线"/>
        <family val="2"/>
      </rPr>
      <t>清河区</t>
    </r>
  </si>
  <si>
    <r>
      <rPr>
        <sz val="11"/>
        <color theme="1"/>
        <rFont val="等线"/>
        <family val="2"/>
      </rPr>
      <t>如皋市</t>
    </r>
  </si>
  <si>
    <r>
      <rPr>
        <sz val="11"/>
        <color theme="1"/>
        <rFont val="等线"/>
        <family val="2"/>
      </rPr>
      <t>苏州</t>
    </r>
  </si>
  <si>
    <r>
      <rPr>
        <sz val="11"/>
        <color theme="1"/>
        <rFont val="等线"/>
        <family val="2"/>
      </rPr>
      <t>高新技术产
业开发区</t>
    </r>
  </si>
  <si>
    <r>
      <rPr>
        <sz val="11"/>
        <color theme="1"/>
        <rFont val="等线"/>
        <family val="2"/>
      </rPr>
      <t>宁波</t>
    </r>
  </si>
  <si>
    <r>
      <rPr>
        <sz val="11"/>
        <color theme="1"/>
        <rFont val="等线"/>
        <family val="2"/>
      </rPr>
      <t>奉化区</t>
    </r>
  </si>
  <si>
    <r>
      <rPr>
        <sz val="11"/>
        <color theme="1"/>
        <rFont val="等线"/>
        <family val="2"/>
      </rPr>
      <t>临沂</t>
    </r>
  </si>
  <si>
    <r>
      <rPr>
        <sz val="11"/>
        <color theme="1"/>
        <rFont val="等线"/>
        <family val="2"/>
      </rPr>
      <t>兰山区</t>
    </r>
  </si>
  <si>
    <r>
      <rPr>
        <sz val="11"/>
        <color theme="1"/>
        <rFont val="等线"/>
        <family val="2"/>
      </rPr>
      <t>泰安</t>
    </r>
  </si>
  <si>
    <r>
      <rPr>
        <sz val="11"/>
        <color theme="1"/>
        <rFont val="等线"/>
        <family val="2"/>
      </rPr>
      <t>淮安区</t>
    </r>
  </si>
  <si>
    <r>
      <rPr>
        <sz val="11"/>
        <color theme="1"/>
        <rFont val="等线"/>
        <family val="2"/>
      </rPr>
      <t>京口区</t>
    </r>
  </si>
  <si>
    <r>
      <rPr>
        <sz val="11"/>
        <color theme="1"/>
        <rFont val="等线"/>
        <family val="2"/>
      </rPr>
      <t>嘉兴</t>
    </r>
  </si>
  <si>
    <r>
      <rPr>
        <sz val="11"/>
        <color theme="1"/>
        <rFont val="等线"/>
        <family val="2"/>
      </rPr>
      <t>海宁市</t>
    </r>
  </si>
  <si>
    <r>
      <rPr>
        <sz val="11"/>
        <color theme="1"/>
        <rFont val="等线"/>
        <family val="2"/>
      </rPr>
      <t>诸暨市</t>
    </r>
  </si>
  <si>
    <r>
      <rPr>
        <sz val="11"/>
        <color theme="1"/>
        <rFont val="等线"/>
        <family val="2"/>
      </rPr>
      <t>重庆</t>
    </r>
  </si>
  <si>
    <r>
      <rPr>
        <sz val="11"/>
        <color theme="1"/>
        <rFont val="等线"/>
        <family val="2"/>
      </rPr>
      <t>通州区</t>
    </r>
  </si>
  <si>
    <r>
      <rPr>
        <sz val="11"/>
        <color theme="1"/>
        <rFont val="等线"/>
        <family val="2"/>
      </rPr>
      <t>如东县</t>
    </r>
  </si>
  <si>
    <r>
      <rPr>
        <sz val="11"/>
        <color theme="1"/>
        <rFont val="等线"/>
        <family val="2"/>
      </rPr>
      <t>昆明</t>
    </r>
  </si>
  <si>
    <r>
      <rPr>
        <sz val="11"/>
        <color theme="1"/>
        <rFont val="等线"/>
        <family val="2"/>
      </rPr>
      <t>沈阳</t>
    </r>
  </si>
  <si>
    <r>
      <rPr>
        <sz val="11"/>
        <color theme="1"/>
        <rFont val="等线"/>
        <family val="2"/>
      </rPr>
      <t>沈抚新区</t>
    </r>
  </si>
  <si>
    <r>
      <rPr>
        <sz val="11"/>
        <color theme="1"/>
        <rFont val="等线"/>
        <family val="2"/>
      </rPr>
      <t>蚌埠</t>
    </r>
  </si>
  <si>
    <r>
      <rPr>
        <sz val="11"/>
        <color theme="1"/>
        <rFont val="等线"/>
        <family val="2"/>
      </rPr>
      <t>西咸新区</t>
    </r>
  </si>
  <si>
    <r>
      <rPr>
        <sz val="11"/>
        <color theme="1"/>
        <rFont val="等线"/>
        <family val="2"/>
      </rPr>
      <t>威海</t>
    </r>
  </si>
  <si>
    <r>
      <rPr>
        <sz val="11"/>
        <color theme="1"/>
        <rFont val="等线"/>
        <family val="2"/>
      </rPr>
      <t>临港区</t>
    </r>
  </si>
  <si>
    <r>
      <rPr>
        <sz val="11"/>
        <color theme="1"/>
        <rFont val="等线"/>
        <family val="2"/>
      </rPr>
      <t>南宁</t>
    </r>
  </si>
  <si>
    <r>
      <rPr>
        <sz val="11"/>
        <color theme="1"/>
        <rFont val="等线"/>
        <family val="2"/>
      </rPr>
      <t>江南区</t>
    </r>
  </si>
  <si>
    <r>
      <rPr>
        <sz val="11"/>
        <color theme="1"/>
        <rFont val="等线"/>
        <family val="2"/>
      </rPr>
      <t>南充</t>
    </r>
  </si>
  <si>
    <r>
      <rPr>
        <sz val="11"/>
        <color theme="1"/>
        <rFont val="等线"/>
        <family val="2"/>
      </rPr>
      <t>高坪区</t>
    </r>
  </si>
  <si>
    <r>
      <rPr>
        <sz val="11"/>
        <color theme="1"/>
        <rFont val="等线"/>
        <family val="2"/>
      </rPr>
      <t>张家港市</t>
    </r>
  </si>
  <si>
    <r>
      <rPr>
        <sz val="11"/>
        <color theme="1"/>
        <rFont val="等线"/>
        <family val="2"/>
      </rPr>
      <t>湖州</t>
    </r>
  </si>
  <si>
    <r>
      <rPr>
        <sz val="11"/>
        <color theme="1"/>
        <rFont val="等线"/>
        <family val="2"/>
      </rPr>
      <t>秀洲区</t>
    </r>
  </si>
  <si>
    <r>
      <rPr>
        <sz val="11"/>
        <color theme="1"/>
        <rFont val="等线"/>
        <family val="2"/>
      </rPr>
      <t>潜江</t>
    </r>
  </si>
  <si>
    <r>
      <rPr>
        <sz val="11"/>
        <color theme="1"/>
        <rFont val="等线"/>
        <family val="2"/>
      </rPr>
      <t>园林街道</t>
    </r>
  </si>
  <si>
    <r>
      <rPr>
        <sz val="11"/>
        <color theme="1"/>
        <rFont val="等线"/>
        <family val="2"/>
      </rPr>
      <t>湛江</t>
    </r>
  </si>
  <si>
    <r>
      <rPr>
        <sz val="11"/>
        <color theme="1"/>
        <rFont val="等线"/>
        <family val="2"/>
      </rPr>
      <t>麻章区</t>
    </r>
  </si>
  <si>
    <r>
      <rPr>
        <sz val="11"/>
        <color theme="1"/>
        <rFont val="等线"/>
        <family val="2"/>
      </rPr>
      <t>徐州</t>
    </r>
  </si>
  <si>
    <r>
      <rPr>
        <sz val="11"/>
        <color theme="1"/>
        <rFont val="等线"/>
        <family val="2"/>
      </rPr>
      <t>经济技术开发区</t>
    </r>
  </si>
  <si>
    <r>
      <rPr>
        <sz val="11"/>
        <color theme="1"/>
        <rFont val="等线"/>
        <family val="2"/>
      </rPr>
      <t>淄博</t>
    </r>
  </si>
  <si>
    <r>
      <rPr>
        <sz val="11"/>
        <color theme="1"/>
        <rFont val="等线"/>
        <family val="2"/>
      </rPr>
      <t>张店区</t>
    </r>
  </si>
  <si>
    <r>
      <rPr>
        <sz val="11"/>
        <color theme="1"/>
        <rFont val="等线"/>
        <family val="2"/>
      </rPr>
      <t>晋江市</t>
    </r>
  </si>
  <si>
    <r>
      <rPr>
        <sz val="11"/>
        <color theme="1"/>
        <rFont val="等线"/>
        <family val="2"/>
      </rPr>
      <t>经济技术
开发区</t>
    </r>
  </si>
  <si>
    <r>
      <rPr>
        <sz val="11"/>
        <color theme="1"/>
        <rFont val="等线"/>
        <family val="2"/>
      </rPr>
      <t>德清县</t>
    </r>
  </si>
  <si>
    <r>
      <rPr>
        <sz val="11"/>
        <color theme="1"/>
        <rFont val="等线"/>
        <family val="2"/>
      </rPr>
      <t>金华</t>
    </r>
  </si>
  <si>
    <r>
      <rPr>
        <sz val="11"/>
        <color theme="1"/>
        <rFont val="等线"/>
        <family val="2"/>
      </rPr>
      <t>横店塘溪地块</t>
    </r>
  </si>
  <si>
    <r>
      <rPr>
        <sz val="11"/>
        <color theme="1"/>
        <rFont val="等线"/>
        <family val="2"/>
      </rPr>
      <t>东阳市</t>
    </r>
  </si>
  <si>
    <r>
      <rPr>
        <sz val="11"/>
        <color theme="1"/>
        <rFont val="等线"/>
        <family val="2"/>
      </rPr>
      <t>丽水</t>
    </r>
  </si>
  <si>
    <r>
      <rPr>
        <sz val="11"/>
        <color theme="1"/>
        <rFont val="等线"/>
        <family val="2"/>
      </rPr>
      <t>缙云县</t>
    </r>
  </si>
  <si>
    <r>
      <rPr>
        <sz val="11"/>
        <color theme="1"/>
        <rFont val="等线"/>
        <family val="2"/>
      </rPr>
      <t>温州</t>
    </r>
  </si>
  <si>
    <r>
      <rPr>
        <sz val="11"/>
        <color theme="1"/>
        <rFont val="等线"/>
        <family val="2"/>
      </rPr>
      <t>平阳县</t>
    </r>
  </si>
  <si>
    <r>
      <rPr>
        <sz val="11"/>
        <color theme="1"/>
        <rFont val="等线"/>
        <family val="2"/>
      </rPr>
      <t>北碚区</t>
    </r>
  </si>
  <si>
    <r>
      <t>2019XP02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</si>
  <si>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台州</t>
    </r>
  </si>
  <si>
    <r>
      <rPr>
        <sz val="11"/>
        <color theme="1"/>
        <rFont val="等线"/>
        <family val="2"/>
      </rPr>
      <t>路桥区</t>
    </r>
  </si>
  <si>
    <r>
      <rPr>
        <sz val="11"/>
        <color theme="1"/>
        <rFont val="等线"/>
        <family val="2"/>
      </rPr>
      <t>成都</t>
    </r>
  </si>
  <si>
    <r>
      <rPr>
        <sz val="11"/>
        <color theme="1"/>
        <rFont val="等线"/>
        <family val="2"/>
      </rPr>
      <t>常德</t>
    </r>
  </si>
  <si>
    <r>
      <rPr>
        <sz val="11"/>
        <color theme="1"/>
        <rFont val="等线"/>
        <family val="2"/>
      </rPr>
      <t>汕头</t>
    </r>
  </si>
  <si>
    <r>
      <rPr>
        <sz val="11"/>
        <color theme="1"/>
        <rFont val="等线"/>
        <family val="2"/>
      </rPr>
      <t>澄海区</t>
    </r>
  </si>
  <si>
    <r>
      <rPr>
        <sz val="11"/>
        <color theme="1"/>
        <rFont val="等线"/>
        <family val="2"/>
      </rPr>
      <t>大东区</t>
    </r>
  </si>
  <si>
    <r>
      <t>2018-60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61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62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63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64</t>
    </r>
    <r>
      <rPr>
        <sz val="11"/>
        <color theme="1"/>
        <rFont val="等线"/>
        <family val="2"/>
      </rPr>
      <t>地块</t>
    </r>
    <phoneticPr fontId="5" type="noConversion"/>
  </si>
  <si>
    <r>
      <t>2019-3-1(R1906)</t>
    </r>
    <r>
      <rPr>
        <sz val="11"/>
        <color theme="1"/>
        <rFont val="等线"/>
        <family val="2"/>
      </rPr>
      <t>岗子下</t>
    </r>
    <r>
      <rPr>
        <sz val="11"/>
        <color theme="1"/>
        <rFont val="Arial"/>
        <family val="2"/>
      </rPr>
      <t>3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</si>
  <si>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李家沱鱼洞组团</t>
    </r>
    <r>
      <rPr>
        <sz val="11"/>
        <color theme="1"/>
        <rFont val="Arial"/>
        <family val="2"/>
      </rPr>
      <t>S</t>
    </r>
    <r>
      <rPr>
        <sz val="11"/>
        <color theme="1"/>
        <rFont val="等线"/>
        <family val="2"/>
      </rPr>
      <t>分区</t>
    </r>
    <r>
      <rPr>
        <sz val="11"/>
        <color theme="1"/>
        <rFont val="Arial"/>
        <family val="2"/>
      </rPr>
      <t>S21-1/05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S21-2/05</t>
    </r>
    <r>
      <rPr>
        <sz val="11"/>
        <color theme="1"/>
        <rFont val="等线"/>
        <family val="2"/>
      </rPr>
      <t>号宗地</t>
    </r>
    <phoneticPr fontId="5" type="noConversion"/>
  </si>
  <si>
    <r>
      <rPr>
        <sz val="11"/>
        <color theme="1"/>
        <rFont val="等线"/>
        <family val="2"/>
      </rPr>
      <t>青云街道</t>
    </r>
    <r>
      <rPr>
        <sz val="11"/>
        <color theme="1"/>
        <rFont val="Arial"/>
        <family val="2"/>
      </rPr>
      <t>KCPL2018-9-A1</t>
    </r>
    <r>
      <rPr>
        <sz val="11"/>
        <color theme="1"/>
        <rFont val="等线"/>
        <family val="2"/>
      </rPr>
      <t>号地块</t>
    </r>
    <phoneticPr fontId="5" type="noConversion"/>
  </si>
  <si>
    <r>
      <t>371002019007GB00099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371002019029GB00001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</si>
  <si>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江东新区二期</t>
    </r>
    <r>
      <rPr>
        <sz val="11"/>
        <color theme="1"/>
        <rFont val="Arial"/>
        <family val="2"/>
      </rPr>
      <t>Be-1-3</t>
    </r>
    <r>
      <rPr>
        <sz val="11"/>
        <color theme="1"/>
        <rFont val="等线"/>
        <family val="2"/>
      </rPr>
      <t>号</t>
    </r>
    <r>
      <rPr>
        <sz val="11"/>
        <color theme="1"/>
        <rFont val="Arial"/>
        <family val="2"/>
      </rPr>
      <t>68.403</t>
    </r>
    <r>
      <rPr>
        <sz val="11"/>
        <color theme="1"/>
        <rFont val="等线"/>
        <family val="2"/>
      </rPr>
      <t>亩地块</t>
    </r>
    <phoneticPr fontId="5" type="noConversion"/>
  </si>
  <si>
    <r>
      <rPr>
        <sz val="11"/>
        <color theme="1"/>
        <rFont val="等线"/>
        <family val="2"/>
      </rPr>
      <t>国际商贸城单元</t>
    </r>
    <r>
      <rPr>
        <sz val="11"/>
        <color theme="1"/>
        <rFont val="Arial"/>
        <family val="2"/>
      </rPr>
      <t>JG1804-03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</si>
  <si>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湖东分区</t>
    </r>
    <r>
      <rPr>
        <sz val="11"/>
        <color theme="1"/>
        <rFont val="Arial"/>
        <family val="2"/>
      </rPr>
      <t>HD-03-02-01A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</si>
  <si>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凤凰山</t>
    </r>
    <r>
      <rPr>
        <sz val="11"/>
        <color theme="1"/>
        <rFont val="Arial"/>
        <family val="2"/>
      </rPr>
      <t>3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</si>
  <si>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昆阳镇西直街两侧</t>
    </r>
    <r>
      <rPr>
        <sz val="11"/>
        <color theme="1"/>
        <rFont val="Arial"/>
        <family val="2"/>
      </rPr>
      <t>G03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G10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</si>
  <si>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蔡家组团</t>
    </r>
    <r>
      <rPr>
        <sz val="11"/>
        <color theme="1"/>
        <rFont val="Arial"/>
        <family val="2"/>
      </rPr>
      <t>M</t>
    </r>
    <r>
      <rPr>
        <sz val="11"/>
        <color theme="1"/>
        <rFont val="等线"/>
        <family val="2"/>
      </rPr>
      <t>分区</t>
    </r>
    <r>
      <rPr>
        <sz val="11"/>
        <color theme="1"/>
        <rFont val="Arial"/>
        <family val="2"/>
      </rPr>
      <t>M25-01/05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M26-01/05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M18</t>
    </r>
    <r>
      <rPr>
        <sz val="11"/>
        <color theme="1"/>
        <rFont val="等线"/>
        <family val="2"/>
      </rPr>
      <t>号宗地</t>
    </r>
    <phoneticPr fontId="5" type="noConversion"/>
  </si>
  <si>
    <t>人民南路与文昌路交叉口西北侧地块</t>
    <phoneticPr fontId="5" type="noConversion"/>
  </si>
  <si>
    <t>土地价款
（亿元）</t>
    <phoneticPr fontId="5" type="noConversion"/>
  </si>
  <si>
    <t>权益总价（亿元）</t>
    <phoneticPr fontId="5" type="noConversion"/>
  </si>
  <si>
    <t>权益总额（亿元）</t>
    <phoneticPr fontId="5" type="noConversion"/>
  </si>
  <si>
    <r>
      <rPr>
        <sz val="11"/>
        <color theme="1"/>
        <rFont val="等线"/>
        <family val="2"/>
      </rPr>
      <t>权益比例</t>
    </r>
  </si>
  <si>
    <r>
      <rPr>
        <sz val="11"/>
        <color theme="1"/>
        <rFont val="等线"/>
        <family val="2"/>
      </rPr>
      <t>占地面积（㎡）</t>
    </r>
    <phoneticPr fontId="5" type="noConversion"/>
  </si>
  <si>
    <r>
      <rPr>
        <sz val="11"/>
        <color theme="1"/>
        <rFont val="等线"/>
        <family val="2"/>
      </rPr>
      <t>规划建筑面积（㎡）</t>
    </r>
    <phoneticPr fontId="5" type="noConversion"/>
  </si>
  <si>
    <r>
      <rPr>
        <sz val="11"/>
        <color theme="1"/>
        <rFont val="等线"/>
        <family val="2"/>
      </rPr>
      <t>总地价</t>
    </r>
    <r>
      <rPr>
        <sz val="11"/>
        <color theme="1"/>
        <rFont val="Arial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Arial"/>
        <family val="2"/>
      </rPr>
      <t>)</t>
    </r>
    <phoneticPr fontId="5" type="noConversion"/>
  </si>
  <si>
    <r>
      <rPr>
        <sz val="11"/>
        <color theme="1"/>
        <rFont val="等线"/>
        <family val="2"/>
      </rPr>
      <t>权益总价</t>
    </r>
    <r>
      <rPr>
        <sz val="11"/>
        <color theme="1"/>
        <rFont val="Arial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Arial"/>
        <family val="2"/>
      </rPr>
      <t>)</t>
    </r>
    <phoneticPr fontId="5" type="noConversion"/>
  </si>
  <si>
    <r>
      <rPr>
        <sz val="11"/>
        <color theme="1"/>
        <rFont val="等线"/>
        <family val="2"/>
      </rPr>
      <t>楼面地价</t>
    </r>
  </si>
  <si>
    <r>
      <rPr>
        <sz val="11"/>
        <color theme="1"/>
        <rFont val="等线"/>
        <family val="2"/>
      </rPr>
      <t>张家港湖悦天境</t>
    </r>
    <r>
      <rPr>
        <sz val="11"/>
        <color theme="1"/>
        <rFont val="Arial"/>
        <family val="2"/>
      </rPr>
      <t>(</t>
    </r>
    <r>
      <rPr>
        <sz val="11"/>
        <color theme="1"/>
        <rFont val="等线"/>
        <family val="2"/>
      </rPr>
      <t>吾悦</t>
    </r>
    <r>
      <rPr>
        <sz val="11"/>
        <color theme="1"/>
        <rFont val="Arial"/>
        <family val="2"/>
      </rPr>
      <t>C)</t>
    </r>
    <phoneticPr fontId="5" type="noConversion"/>
  </si>
  <si>
    <r>
      <rPr>
        <sz val="11"/>
        <color theme="1"/>
        <rFont val="等线"/>
        <family val="2"/>
      </rPr>
      <t>经开区</t>
    </r>
  </si>
  <si>
    <r>
      <rPr>
        <sz val="11"/>
        <color theme="1"/>
        <rFont val="等线"/>
        <family val="2"/>
      </rPr>
      <t>沙坪坝区</t>
    </r>
  </si>
  <si>
    <r>
      <rPr>
        <sz val="11"/>
        <color theme="1"/>
        <rFont val="等线"/>
        <family val="2"/>
      </rPr>
      <t>苏州苏地</t>
    </r>
    <r>
      <rPr>
        <sz val="11"/>
        <color theme="1"/>
        <rFont val="Arial"/>
        <family val="2"/>
      </rPr>
      <t>2017-WG-60</t>
    </r>
    <r>
      <rPr>
        <sz val="11"/>
        <color theme="1"/>
        <rFont val="等线"/>
        <family val="2"/>
      </rPr>
      <t>号</t>
    </r>
    <phoneticPr fontId="5" type="noConversion"/>
  </si>
  <si>
    <r>
      <rPr>
        <sz val="11"/>
        <color theme="1"/>
        <rFont val="等线"/>
        <family val="2"/>
      </rPr>
      <t>浒墅关开发区</t>
    </r>
  </si>
  <si>
    <r>
      <rPr>
        <sz val="11"/>
        <color theme="1"/>
        <rFont val="等线"/>
        <family val="2"/>
      </rPr>
      <t>南通</t>
    </r>
    <r>
      <rPr>
        <sz val="11"/>
        <color theme="1"/>
        <rFont val="Arial"/>
        <family val="2"/>
      </rPr>
      <t>R17043</t>
    </r>
    <r>
      <rPr>
        <sz val="11"/>
        <color theme="1"/>
        <rFont val="等线"/>
        <family val="2"/>
      </rPr>
      <t>地块（开发区春风南岸）</t>
    </r>
    <phoneticPr fontId="5" type="noConversion"/>
  </si>
  <si>
    <r>
      <rPr>
        <sz val="11"/>
        <color theme="1"/>
        <rFont val="等线"/>
        <family val="2"/>
      </rPr>
      <t>开发区</t>
    </r>
  </si>
  <si>
    <r>
      <rPr>
        <sz val="11"/>
        <color theme="1"/>
        <rFont val="等线"/>
        <family val="2"/>
      </rPr>
      <t>东阳中南新城樾府</t>
    </r>
    <phoneticPr fontId="5" type="noConversion"/>
  </si>
  <si>
    <r>
      <rPr>
        <sz val="11"/>
        <color theme="1"/>
        <rFont val="等线"/>
        <family val="2"/>
      </rPr>
      <t>淮安承恩大道南侧地块</t>
    </r>
    <phoneticPr fontId="5" type="noConversion"/>
  </si>
  <si>
    <r>
      <rPr>
        <sz val="11"/>
        <color theme="1"/>
        <rFont val="等线"/>
        <family val="2"/>
      </rPr>
      <t>安宁连然街道</t>
    </r>
    <r>
      <rPr>
        <sz val="11"/>
        <color theme="1"/>
        <rFont val="Arial"/>
        <family val="2"/>
      </rPr>
      <t>ANCB-2017L003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</si>
  <si>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安宁市</t>
    </r>
  </si>
  <si>
    <r>
      <rPr>
        <sz val="11"/>
        <color theme="1"/>
        <rFont val="等线"/>
        <family val="2"/>
      </rPr>
      <t>余姚</t>
    </r>
    <r>
      <rPr>
        <sz val="11"/>
        <color theme="1"/>
        <rFont val="Arial"/>
        <family val="2"/>
      </rPr>
      <t>2017-140</t>
    </r>
    <r>
      <rPr>
        <sz val="11"/>
        <color theme="1"/>
        <rFont val="等线"/>
        <family val="2"/>
      </rPr>
      <t>号舜达路南侧地块</t>
    </r>
  </si>
  <si>
    <r>
      <rPr>
        <sz val="11"/>
        <color theme="1"/>
        <rFont val="等线"/>
        <family val="2"/>
      </rPr>
      <t>余姚</t>
    </r>
    <r>
      <rPr>
        <sz val="11"/>
        <color theme="1"/>
        <rFont val="Arial"/>
        <family val="2"/>
      </rPr>
      <t>2017-141</t>
    </r>
    <r>
      <rPr>
        <sz val="11"/>
        <color theme="1"/>
        <rFont val="等线"/>
        <family val="2"/>
      </rPr>
      <t>号舜达路南侧地块</t>
    </r>
  </si>
  <si>
    <r>
      <rPr>
        <sz val="11"/>
        <color theme="1"/>
        <rFont val="等线"/>
        <family val="2"/>
      </rPr>
      <t>梅州峰会</t>
    </r>
  </si>
  <si>
    <r>
      <rPr>
        <sz val="11"/>
        <color theme="1"/>
        <rFont val="等线"/>
        <family val="2"/>
      </rPr>
      <t>梅州</t>
    </r>
  </si>
  <si>
    <r>
      <rPr>
        <sz val="11"/>
        <color theme="1"/>
        <rFont val="等线"/>
        <family val="2"/>
      </rPr>
      <t>诸暨环北居住区艮塔西路</t>
    </r>
    <r>
      <rPr>
        <sz val="11"/>
        <color theme="1"/>
        <rFont val="Arial"/>
        <family val="2"/>
      </rPr>
      <t>-01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</si>
  <si>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台州开发区市府大道项目</t>
    </r>
    <phoneticPr fontId="5" type="noConversion"/>
  </si>
  <si>
    <r>
      <rPr>
        <sz val="11"/>
        <color theme="1"/>
        <rFont val="等线"/>
        <family val="2"/>
      </rPr>
      <t>宁波镇海新城</t>
    </r>
    <r>
      <rPr>
        <sz val="11"/>
        <color theme="1"/>
        <rFont val="Arial"/>
        <family val="2"/>
      </rPr>
      <t>ZH07-06-02-b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</si>
  <si>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港闸区</t>
    </r>
  </si>
  <si>
    <r>
      <rPr>
        <sz val="11"/>
        <color theme="1"/>
        <rFont val="等线"/>
        <family val="2"/>
      </rPr>
      <t>慈溪市</t>
    </r>
  </si>
  <si>
    <r>
      <rPr>
        <sz val="11"/>
        <color theme="1"/>
        <rFont val="等线"/>
        <family val="2"/>
      </rPr>
      <t>慈溪慈横河</t>
    </r>
    <r>
      <rPr>
        <sz val="11"/>
        <color theme="1"/>
        <rFont val="Arial"/>
        <family val="2"/>
      </rPr>
      <t>I201701#</t>
    </r>
  </si>
  <si>
    <r>
      <rPr>
        <sz val="11"/>
        <color theme="1"/>
        <rFont val="等线"/>
        <family val="2"/>
      </rPr>
      <t>宁波杭州湾新区项目</t>
    </r>
    <phoneticPr fontId="5" type="noConversion"/>
  </si>
  <si>
    <r>
      <rPr>
        <sz val="11"/>
        <color theme="1"/>
        <rFont val="等线"/>
        <family val="2"/>
      </rPr>
      <t>慈溪古塘街道界牌</t>
    </r>
    <r>
      <rPr>
        <sz val="11"/>
        <color theme="1"/>
        <rFont val="Arial"/>
        <family val="2"/>
      </rPr>
      <t>3#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</si>
  <si>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温州瑞安万松东进带</t>
    </r>
    <r>
      <rPr>
        <sz val="11"/>
        <color theme="1"/>
        <rFont val="Arial"/>
        <family val="2"/>
      </rPr>
      <t>04-02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</si>
  <si>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瑞安市</t>
    </r>
  </si>
  <si>
    <r>
      <rPr>
        <sz val="11"/>
        <color theme="1"/>
        <rFont val="等线"/>
        <family val="2"/>
      </rPr>
      <t>温州乐清经济开发区</t>
    </r>
    <r>
      <rPr>
        <sz val="11"/>
        <color theme="1"/>
        <rFont val="Arial"/>
        <family val="2"/>
      </rPr>
      <t>18-03-15-1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</si>
  <si>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乐清市</t>
    </r>
  </si>
  <si>
    <r>
      <rPr>
        <sz val="11"/>
        <color theme="1"/>
        <rFont val="等线"/>
        <family val="2"/>
      </rPr>
      <t>济宁</t>
    </r>
  </si>
  <si>
    <r>
      <rPr>
        <sz val="11"/>
        <color theme="1"/>
        <rFont val="等线"/>
        <family val="2"/>
      </rPr>
      <t>淮安西安路</t>
    </r>
    <r>
      <rPr>
        <sz val="11"/>
        <color theme="1"/>
        <rFont val="Arial"/>
        <family val="2"/>
      </rPr>
      <t>5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</si>
  <si>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佛山</t>
    </r>
  </si>
  <si>
    <r>
      <rPr>
        <sz val="11"/>
        <color theme="1"/>
        <rFont val="等线"/>
        <family val="2"/>
      </rPr>
      <t>慈溪宗汉</t>
    </r>
    <r>
      <rPr>
        <sz val="11"/>
        <color theme="1"/>
        <rFont val="Arial"/>
        <family val="2"/>
      </rPr>
      <t>201403#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</si>
  <si>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镇江檀山路项目</t>
    </r>
  </si>
  <si>
    <r>
      <rPr>
        <sz val="11"/>
        <color theme="1"/>
        <rFont val="等线"/>
        <family val="2"/>
      </rPr>
      <t>开封</t>
    </r>
  </si>
  <si>
    <r>
      <rPr>
        <sz val="11"/>
        <color theme="1"/>
        <rFont val="等线"/>
        <family val="2"/>
      </rPr>
      <t>新区</t>
    </r>
  </si>
  <si>
    <r>
      <rPr>
        <sz val="11"/>
        <color theme="1"/>
        <rFont val="等线"/>
        <family val="2"/>
      </rPr>
      <t>宁波杭州湾新区智慧宜居区块</t>
    </r>
    <r>
      <rPr>
        <sz val="11"/>
        <color theme="1"/>
        <rFont val="Arial"/>
        <family val="2"/>
      </rPr>
      <t>4#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</si>
  <si>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慈溪杭州湾新区康乐宜居区块</t>
    </r>
    <r>
      <rPr>
        <sz val="11"/>
        <color theme="1"/>
        <rFont val="Arial"/>
        <family val="2"/>
      </rPr>
      <t>3#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</si>
  <si>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桓台县</t>
    </r>
  </si>
  <si>
    <r>
      <rPr>
        <sz val="11"/>
        <color theme="1"/>
        <rFont val="等线"/>
        <family val="2"/>
      </rPr>
      <t>五华区项目</t>
    </r>
  </si>
  <si>
    <r>
      <rPr>
        <sz val="11"/>
        <color theme="1"/>
        <rFont val="等线"/>
        <family val="2"/>
      </rPr>
      <t>五华区</t>
    </r>
  </si>
  <si>
    <r>
      <rPr>
        <sz val="11"/>
        <color theme="1"/>
        <rFont val="等线"/>
        <family val="2"/>
      </rPr>
      <t>金华龙川路以南地块</t>
    </r>
  </si>
  <si>
    <r>
      <rPr>
        <sz val="11"/>
        <color theme="1"/>
        <rFont val="等线"/>
        <family val="2"/>
      </rPr>
      <t>高新区</t>
    </r>
  </si>
  <si>
    <r>
      <rPr>
        <sz val="11"/>
        <color theme="1"/>
        <rFont val="等线"/>
        <family val="2"/>
      </rPr>
      <t>淮南市</t>
    </r>
  </si>
  <si>
    <r>
      <rPr>
        <sz val="11"/>
        <color theme="1"/>
        <rFont val="等线"/>
        <family val="2"/>
      </rPr>
      <t>山南新区</t>
    </r>
  </si>
  <si>
    <r>
      <rPr>
        <sz val="11"/>
        <color theme="1"/>
        <rFont val="等线"/>
        <family val="2"/>
      </rPr>
      <t>阜阳太和县</t>
    </r>
    <r>
      <rPr>
        <sz val="11"/>
        <color theme="1"/>
        <rFont val="Arial"/>
        <family val="2"/>
      </rPr>
      <t>TH</t>
    </r>
    <r>
      <rPr>
        <sz val="11"/>
        <color theme="1"/>
        <rFont val="等线"/>
        <family val="2"/>
      </rPr>
      <t>【</t>
    </r>
    <r>
      <rPr>
        <sz val="11"/>
        <color theme="1"/>
        <rFont val="Arial"/>
        <family val="2"/>
      </rPr>
      <t>2017</t>
    </r>
    <r>
      <rPr>
        <sz val="11"/>
        <color theme="1"/>
        <rFont val="等线"/>
        <family val="2"/>
      </rPr>
      <t>】</t>
    </r>
    <r>
      <rPr>
        <sz val="11"/>
        <color theme="1"/>
        <rFont val="Arial"/>
        <family val="2"/>
      </rPr>
      <t>068#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</si>
  <si>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阜阳</t>
    </r>
  </si>
  <si>
    <r>
      <rPr>
        <sz val="11"/>
        <color theme="1"/>
        <rFont val="等线"/>
        <family val="2"/>
      </rPr>
      <t>保定</t>
    </r>
  </si>
  <si>
    <r>
      <rPr>
        <sz val="11"/>
        <color theme="1"/>
        <rFont val="等线"/>
        <family val="2"/>
      </rPr>
      <t>连云港灌南</t>
    </r>
    <r>
      <rPr>
        <sz val="11"/>
        <color theme="1"/>
        <rFont val="Arial"/>
        <family val="2"/>
      </rPr>
      <t>GT2018-06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</si>
  <si>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连云港</t>
    </r>
  </si>
  <si>
    <r>
      <rPr>
        <sz val="11"/>
        <color theme="1"/>
        <rFont val="等线"/>
        <family val="2"/>
      </rPr>
      <t>灌南县</t>
    </r>
  </si>
  <si>
    <r>
      <rPr>
        <sz val="11"/>
        <color theme="1"/>
        <rFont val="等线"/>
        <family val="2"/>
      </rPr>
      <t>连云港灌南</t>
    </r>
    <r>
      <rPr>
        <sz val="11"/>
        <color theme="1"/>
        <rFont val="Arial"/>
        <family val="2"/>
      </rPr>
      <t>GT2018-07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</si>
  <si>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济宁邹城中胡中街项目</t>
    </r>
  </si>
  <si>
    <r>
      <rPr>
        <sz val="11"/>
        <color theme="1"/>
        <rFont val="等线"/>
        <family val="2"/>
      </rPr>
      <t>邹城市</t>
    </r>
  </si>
  <si>
    <r>
      <rPr>
        <sz val="11"/>
        <color theme="1"/>
        <rFont val="等线"/>
        <family val="2"/>
      </rPr>
      <t>湘潭</t>
    </r>
  </si>
  <si>
    <r>
      <rPr>
        <sz val="11"/>
        <color theme="1"/>
        <rFont val="等线"/>
        <family val="2"/>
      </rPr>
      <t>岳塘区</t>
    </r>
  </si>
  <si>
    <r>
      <rPr>
        <sz val="11"/>
        <color theme="1"/>
        <rFont val="等线"/>
        <family val="2"/>
      </rPr>
      <t>合肥</t>
    </r>
  </si>
  <si>
    <r>
      <rPr>
        <sz val="11"/>
        <color theme="1"/>
        <rFont val="等线"/>
        <family val="2"/>
      </rPr>
      <t>济宁樾府项目</t>
    </r>
  </si>
  <si>
    <r>
      <rPr>
        <sz val="11"/>
        <color theme="1"/>
        <rFont val="等线"/>
        <family val="2"/>
      </rPr>
      <t>临沂熙悦</t>
    </r>
  </si>
  <si>
    <r>
      <rPr>
        <sz val="11"/>
        <color theme="1"/>
        <rFont val="等线"/>
        <family val="2"/>
      </rPr>
      <t>新技术产业开发区</t>
    </r>
  </si>
  <si>
    <r>
      <rPr>
        <sz val="11"/>
        <color theme="1"/>
        <rFont val="等线"/>
        <family val="2"/>
      </rPr>
      <t>桐庐项目</t>
    </r>
  </si>
  <si>
    <r>
      <rPr>
        <sz val="11"/>
        <color theme="1"/>
        <rFont val="等线"/>
        <family val="2"/>
      </rPr>
      <t>烟台</t>
    </r>
    <phoneticPr fontId="5" type="noConversion"/>
  </si>
  <si>
    <r>
      <rPr>
        <sz val="11"/>
        <color theme="1"/>
        <rFont val="等线"/>
        <family val="2"/>
      </rPr>
      <t>绍兴
嵊州</t>
    </r>
  </si>
  <si>
    <r>
      <rPr>
        <sz val="11"/>
        <color theme="1"/>
        <rFont val="等线"/>
        <family val="2"/>
      </rPr>
      <t xml:space="preserve">绍兴
</t>
    </r>
  </si>
  <si>
    <r>
      <rPr>
        <sz val="11"/>
        <color theme="1"/>
        <rFont val="等线"/>
        <family val="2"/>
      </rPr>
      <t>城南新区</t>
    </r>
    <phoneticPr fontId="5" type="noConversion"/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</si>
  <si>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KCWH2012-33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</si>
  <si>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KCWH2013-7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</si>
  <si>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KCWH2013-8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</si>
  <si>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KCWH2013-9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</si>
  <si>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KCWH2013-10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</si>
  <si>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KCWH2013-11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</si>
  <si>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双福能源学校西侧地块</t>
    </r>
  </si>
  <si>
    <r>
      <rPr>
        <sz val="11"/>
        <color theme="1"/>
        <rFont val="等线"/>
        <family val="2"/>
      </rPr>
      <t>镇江</t>
    </r>
    <phoneticPr fontId="5" type="noConversion"/>
  </si>
  <si>
    <r>
      <rPr>
        <sz val="11"/>
        <color theme="1"/>
        <rFont val="等线"/>
        <family val="2"/>
      </rPr>
      <t>常德</t>
    </r>
    <r>
      <rPr>
        <sz val="11"/>
        <color theme="1"/>
        <rFont val="Arial"/>
        <family val="2"/>
      </rPr>
      <t>757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</si>
  <si>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常德</t>
    </r>
    <phoneticPr fontId="5" type="noConversion"/>
  </si>
  <si>
    <r>
      <rPr>
        <sz val="11"/>
        <color theme="1"/>
        <rFont val="等线"/>
        <family val="2"/>
      </rPr>
      <t>张店区钢联地块</t>
    </r>
    <phoneticPr fontId="5" type="noConversion"/>
  </si>
  <si>
    <r>
      <rPr>
        <sz val="11"/>
        <color theme="1"/>
        <rFont val="等线"/>
        <family val="2"/>
      </rPr>
      <t>淄博</t>
    </r>
    <phoneticPr fontId="5" type="noConversion"/>
  </si>
  <si>
    <r>
      <rPr>
        <sz val="11"/>
        <color theme="1"/>
        <rFont val="等线"/>
        <family val="2"/>
      </rPr>
      <t>锦城三期地块</t>
    </r>
    <r>
      <rPr>
        <sz val="11"/>
        <color theme="1"/>
        <rFont val="Arial"/>
        <family val="2"/>
      </rPr>
      <t>(2018-3</t>
    </r>
    <r>
      <rPr>
        <sz val="11"/>
        <color theme="1"/>
        <rFont val="等线"/>
        <family val="2"/>
      </rPr>
      <t>号）地块</t>
    </r>
  </si>
  <si>
    <r>
      <rPr>
        <sz val="11"/>
        <color theme="1"/>
        <rFont val="等线"/>
        <family val="2"/>
      </rPr>
      <t>南宁第八十九期</t>
    </r>
    <r>
      <rPr>
        <sz val="11"/>
        <color theme="1"/>
        <rFont val="Arial"/>
        <family val="2"/>
      </rPr>
      <t>GC2018-095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</si>
  <si>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威海</t>
    </r>
    <r>
      <rPr>
        <sz val="11"/>
        <color theme="1"/>
        <rFont val="Arial"/>
        <family val="2"/>
      </rPr>
      <t>2018</t>
    </r>
    <r>
      <rPr>
        <sz val="11"/>
        <color theme="1"/>
        <rFont val="等线"/>
        <family val="2"/>
      </rPr>
      <t>）</t>
    </r>
    <r>
      <rPr>
        <sz val="11"/>
        <color theme="1"/>
        <rFont val="Arial"/>
        <family val="2"/>
      </rPr>
      <t>7-4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</si>
  <si>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淄博</t>
    </r>
    <r>
      <rPr>
        <sz val="11"/>
        <color theme="1"/>
        <rFont val="Arial"/>
        <family val="2"/>
      </rPr>
      <t>2017</t>
    </r>
    <r>
      <rPr>
        <sz val="11"/>
        <color theme="1"/>
        <rFont val="等线"/>
        <family val="2"/>
      </rPr>
      <t>（增量）</t>
    </r>
    <r>
      <rPr>
        <sz val="11"/>
        <color theme="1"/>
        <rFont val="Arial"/>
        <family val="2"/>
      </rPr>
      <t>—</t>
    </r>
    <r>
      <rPr>
        <sz val="11"/>
        <color theme="1"/>
        <rFont val="等线"/>
        <family val="2"/>
      </rPr>
      <t>临</t>
    </r>
    <r>
      <rPr>
        <sz val="11"/>
        <color theme="1"/>
        <rFont val="Arial"/>
        <family val="2"/>
      </rPr>
      <t>8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</si>
  <si>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太仓</t>
    </r>
  </si>
  <si>
    <r>
      <rPr>
        <sz val="11"/>
        <color theme="1"/>
        <rFont val="等线"/>
        <family val="2"/>
      </rPr>
      <t>常州</t>
    </r>
  </si>
  <si>
    <t>序号</t>
  </si>
  <si>
    <t>权益比例</t>
  </si>
  <si>
    <t>2016-B11</t>
  </si>
  <si>
    <t>大兴五洋</t>
  </si>
  <si>
    <t>姚北新城核心区2017-119</t>
    <phoneticPr fontId="5" type="noConversion"/>
  </si>
  <si>
    <t>城市</t>
  </si>
  <si>
    <t>南通</t>
  </si>
  <si>
    <t>马鞍山</t>
  </si>
  <si>
    <t>徐州</t>
  </si>
  <si>
    <t>徐州铜山区华山路西侧</t>
  </si>
  <si>
    <t>丹阳</t>
  </si>
  <si>
    <t>固安</t>
  </si>
  <si>
    <t>太仓</t>
  </si>
  <si>
    <t>高淳</t>
  </si>
  <si>
    <t>万福城以东、奕淳绿园以北</t>
  </si>
  <si>
    <t>成都</t>
  </si>
  <si>
    <t>南至聚霞路，西至汇通路</t>
  </si>
  <si>
    <t>南至建设南路，西至建功路</t>
  </si>
  <si>
    <t>常熟</t>
  </si>
  <si>
    <t>盐城</t>
  </si>
  <si>
    <t>大星南路东、小新河南侧地块</t>
  </si>
  <si>
    <t>2017A-002</t>
  </si>
  <si>
    <t>建德</t>
  </si>
  <si>
    <t>通州</t>
  </si>
  <si>
    <t>南至大庆路、北至汽车站</t>
  </si>
  <si>
    <t>西至尚德路、南至荣华小区</t>
  </si>
  <si>
    <t>镇江</t>
  </si>
  <si>
    <t>天津</t>
  </si>
  <si>
    <t>建新路东南侧，风雷河西侧</t>
  </si>
  <si>
    <t>绍兴袍江</t>
  </si>
  <si>
    <t>烟台</t>
  </si>
  <si>
    <t>WG2017-12-6</t>
  </si>
  <si>
    <t>国开区龙江路西、浮宅路南</t>
  </si>
  <si>
    <t>海门</t>
  </si>
  <si>
    <t>青岛</t>
  </si>
  <si>
    <t>如东珠江路南、通洋路东地块</t>
  </si>
  <si>
    <t>通州R2017－002地块</t>
    <phoneticPr fontId="5" type="noConversion"/>
  </si>
  <si>
    <t>西安</t>
  </si>
  <si>
    <t>泰安</t>
  </si>
  <si>
    <t>潍坊</t>
  </si>
  <si>
    <t>临沂</t>
  </si>
  <si>
    <t>邳州</t>
  </si>
  <si>
    <t>2017-75</t>
  </si>
  <si>
    <t>邳州市泰州路东、珠江路北</t>
  </si>
  <si>
    <t>平度市经三路以南地块</t>
  </si>
  <si>
    <t>淮安</t>
  </si>
  <si>
    <t>广饶</t>
  </si>
  <si>
    <t>中创区R17013</t>
  </si>
  <si>
    <t>张家港</t>
  </si>
  <si>
    <t>2011-A17-A</t>
  </si>
  <si>
    <t>塘桥镇富民路南侧</t>
  </si>
  <si>
    <t>R17017</t>
  </si>
  <si>
    <t>昆明</t>
  </si>
  <si>
    <t>咸阳</t>
  </si>
  <si>
    <t>上海</t>
  </si>
  <si>
    <t>北临温泉大道，东临恒大未来城</t>
  </si>
  <si>
    <t>东至规划路，西至龙泉路，北接北天门大街</t>
  </si>
  <si>
    <t>西至梁红玉路，南至杜康桥路，东至沈坤路</t>
  </si>
  <si>
    <t>广平路以南，广福路以北，正安路以东，泰安路以西</t>
  </si>
  <si>
    <t>通盛大道西、源兴路北、居康路南</t>
  </si>
  <si>
    <t>宿州</t>
  </si>
  <si>
    <t>银河一路以北，通济五路以东</t>
  </si>
  <si>
    <t>宁波</t>
  </si>
  <si>
    <t>飞虎大道以西</t>
  </si>
  <si>
    <t>沈阳</t>
  </si>
  <si>
    <t>平湖市乍浦镇老沪杭公路南侧、金海洋大道东侧</t>
  </si>
  <si>
    <t>如皋</t>
  </si>
  <si>
    <t>R2017018</t>
  </si>
  <si>
    <t>R2017019</t>
  </si>
  <si>
    <t>南充</t>
  </si>
  <si>
    <t>扬州</t>
  </si>
  <si>
    <t>东至奉炮公路，西至新农河，南至上海师范大学奉贤校区，北至海泉路</t>
    <phoneticPr fontId="5" type="noConversion"/>
  </si>
  <si>
    <t>佛山</t>
  </si>
  <si>
    <t>余姚</t>
  </si>
  <si>
    <t>朗霞街道镇西村</t>
  </si>
  <si>
    <t>永兴大道北、长泰路东</t>
  </si>
  <si>
    <t>商丘</t>
  </si>
  <si>
    <t>东至中州路、南至张巡路、西至学院路、北至规划路</t>
  </si>
  <si>
    <t>东至豫苑路，南至张巡璐，西至创新南路，北至帝喾路</t>
  </si>
  <si>
    <t>东至迎宾大道、南至工兴西街、西至永康路、北至九华城小区</t>
    <phoneticPr fontId="5" type="noConversion"/>
  </si>
  <si>
    <t>南起五号横河绿化带、北至新金西路绿化带、东起金虹路、西至金洲路绿化带</t>
    <phoneticPr fontId="5" type="noConversion"/>
  </si>
  <si>
    <t>虞山镇东三环以西、昭文路以北</t>
    <phoneticPr fontId="5" type="noConversion"/>
  </si>
  <si>
    <t>海纳路南、通二河北、苏通路东、金英西路西</t>
    <phoneticPr fontId="5" type="noConversion"/>
  </si>
  <si>
    <t>位于宿城新区，东至家天下小区，南至吉林路，西至东海路，北至家天下小区。</t>
    <phoneticPr fontId="5" type="noConversion"/>
  </si>
  <si>
    <t>东:曹后公路绿化带南:用地界线；西:浑河七街绿化带；北:用地界线</t>
    <phoneticPr fontId="5" type="noConversion"/>
  </si>
  <si>
    <t>苏通科技产业园苏四河东、苏通路西、乐成路南、江成路北</t>
    <phoneticPr fontId="5" type="noConversion"/>
  </si>
  <si>
    <t>陕汽路以南，渭华路以西，泾环南路以北</t>
    <phoneticPr fontId="5" type="noConversion"/>
  </si>
  <si>
    <t>经一路以东、文昌西路南、站南路西、规划支路一北</t>
    <phoneticPr fontId="5" type="noConversion"/>
  </si>
  <si>
    <t>东至金辉路，南至规划绿地，西至中山北路，北至金舜东路</t>
    <phoneticPr fontId="5" type="noConversion"/>
  </si>
  <si>
    <t>南部新城规划新沈路以西、规划庙港路以北</t>
    <phoneticPr fontId="5" type="noConversion"/>
  </si>
  <si>
    <t>南至叶家村耕地，西至叶东公路，北至环城南路</t>
    <phoneticPr fontId="5" type="noConversion"/>
  </si>
  <si>
    <t>西临规划道路、北临河南大学民生学院，东临未开发用地，南至金耀路</t>
  </si>
  <si>
    <t>北临文峰大道，东临鹿鹤大道，西面及南面为可开发用地</t>
    <phoneticPr fontId="5" type="noConversion"/>
  </si>
  <si>
    <t>东至塘西线三期、南至水轴一路（规划道路），西至河西路、北至湖滨南路。</t>
    <phoneticPr fontId="5" type="noConversion"/>
  </si>
  <si>
    <t>朗霞街道镇西村、邵巷村</t>
    <phoneticPr fontId="5" type="noConversion"/>
  </si>
  <si>
    <t>北堡一街以东、邯大路以北、中堡三路南北两侧</t>
    <phoneticPr fontId="5" type="noConversion"/>
  </si>
  <si>
    <t>三环西路西徐萧公路南</t>
    <phoneticPr fontId="5" type="noConversion"/>
  </si>
  <si>
    <t>平湖市独山港区凤舞路西侧、港城路南侧</t>
    <phoneticPr fontId="5" type="noConversion"/>
  </si>
  <si>
    <t>东至九龙山大道，西至成山路，北至外环中路，南至纬三路</t>
    <phoneticPr fontId="5" type="noConversion"/>
  </si>
  <si>
    <t>建德市新安街道：东至清江路、南至江滨路、西至浦发路、北至溪头路</t>
    <phoneticPr fontId="5" type="noConversion"/>
  </si>
  <si>
    <t>虞山镇开元大道以北、香山路以东</t>
    <phoneticPr fontId="5" type="noConversion"/>
  </si>
  <si>
    <t>虞山镇红梅路以南、香山路以东</t>
    <phoneticPr fontId="5" type="noConversion"/>
  </si>
  <si>
    <t>梅李镇学府路以南、天字南路以西</t>
    <phoneticPr fontId="5" type="noConversion"/>
  </si>
  <si>
    <t>辛庄镇新阳大道北侧、常隆路西侧</t>
    <phoneticPr fontId="5" type="noConversion"/>
  </si>
  <si>
    <t>滨江新市区龙腾南路以西、碧浒路以北</t>
    <phoneticPr fontId="5" type="noConversion"/>
  </si>
  <si>
    <t>东至建港路，南至外环中路</t>
    <phoneticPr fontId="5" type="noConversion"/>
  </si>
  <si>
    <t>嘉兴乍浦泓悦府项目</t>
    <phoneticPr fontId="5" type="noConversion"/>
  </si>
  <si>
    <t>聆湖路以东长香中大道以南地块</t>
    <phoneticPr fontId="5" type="noConversion"/>
  </si>
  <si>
    <t>北至福源道，西至新安路，南至顺源道，东至现状空地</t>
    <phoneticPr fontId="5" type="noConversion"/>
  </si>
  <si>
    <t>海门市瑞江路东、解放东路北侧</t>
    <phoneticPr fontId="5" type="noConversion"/>
  </si>
  <si>
    <t>位置</t>
    <phoneticPr fontId="5" type="noConversion"/>
  </si>
  <si>
    <t>项目名称</t>
    <phoneticPr fontId="5" type="noConversion"/>
  </si>
  <si>
    <t>四至范围东至圆芳路,西至12-04地块,南至圆南绿地,北至南圆沙路</t>
  </si>
  <si>
    <t>高淳2017G03地块</t>
  </si>
  <si>
    <t>建德市新安街道：东至沪瑞线、南至江滨路、西至清江路、北至溪头路</t>
  </si>
  <si>
    <t>地块东至袍渎1号支路，南至袍渎路，西至袍中路，北至沿河退让绿带</t>
  </si>
  <si>
    <t>温江41亩</t>
  </si>
  <si>
    <t>平度17037</t>
  </si>
  <si>
    <t>潍坊2017-G73</t>
  </si>
  <si>
    <t>经开区A地块</t>
  </si>
  <si>
    <t>城南街道张八里村22、23组地段</t>
  </si>
  <si>
    <t>城南街道张八里村18、22、23组地段</t>
  </si>
  <si>
    <t>通州R2017－003地块</t>
    <phoneticPr fontId="5" type="noConversion"/>
  </si>
  <si>
    <t>津武（挂）2017-008号</t>
    <phoneticPr fontId="5" type="noConversion"/>
  </si>
  <si>
    <t>2017－7号编号1地块</t>
    <phoneticPr fontId="5" type="noConversion"/>
  </si>
  <si>
    <t>平国土告字［2017]8号9地块</t>
    <phoneticPr fontId="5" type="noConversion"/>
  </si>
  <si>
    <t>徐州市本级网挂[2017]8号2017-15号</t>
    <phoneticPr fontId="5" type="noConversion"/>
  </si>
  <si>
    <t>温江区柳城街办红光社区3、4组，涌泉街办大田社区6组地块</t>
    <phoneticPr fontId="5" type="noConversion"/>
  </si>
  <si>
    <t>通州世纪大道西侧地块</t>
    <phoneticPr fontId="5" type="noConversion"/>
  </si>
  <si>
    <t>泰土告字[2017]6号、第2017-18号地块</t>
    <phoneticPr fontId="5" type="noConversion"/>
  </si>
  <si>
    <t>Sep-17</t>
    <phoneticPr fontId="5" type="noConversion"/>
  </si>
  <si>
    <t>杜康桥路北、梁红玉路东</t>
    <phoneticPr fontId="5" type="noConversion"/>
  </si>
  <si>
    <t>官渡区金马街道办项目</t>
    <phoneticPr fontId="5" type="noConversion"/>
  </si>
  <si>
    <t>上海奉贤海湾旅游区商办地块</t>
    <phoneticPr fontId="5" type="noConversion"/>
  </si>
  <si>
    <t>慈溪孙塘北路1#A、B地块</t>
    <phoneticPr fontId="5" type="noConversion"/>
  </si>
  <si>
    <t>平国土告字［2017]18号地块编号2地块</t>
    <phoneticPr fontId="5" type="noConversion"/>
  </si>
  <si>
    <t>余姚高铁站金舜东路地块</t>
    <phoneticPr fontId="5" type="noConversion"/>
  </si>
  <si>
    <t>慈掌起201502#地块</t>
    <phoneticPr fontId="5" type="noConversion"/>
  </si>
  <si>
    <t>随州高新区文峰大道项目</t>
    <phoneticPr fontId="5" type="noConversion"/>
  </si>
  <si>
    <t>姚北新城核心区2017-117</t>
    <phoneticPr fontId="5" type="noConversion"/>
  </si>
  <si>
    <t>姚北新城核心区2017-120</t>
    <phoneticPr fontId="5" type="noConversion"/>
  </si>
  <si>
    <t>南通港闸区永兴大道北、长泰路东CR17033地块</t>
    <phoneticPr fontId="5" type="noConversion"/>
  </si>
  <si>
    <t>邯山区2017-24地块</t>
    <phoneticPr fontId="5" type="noConversion"/>
  </si>
  <si>
    <t>泉山区三环西路西徐萧公路南86亩地块</t>
    <phoneticPr fontId="5" type="noConversion"/>
  </si>
  <si>
    <t>商丘市日月湖项目商土网挂2017-96号</t>
    <phoneticPr fontId="5" type="noConversion"/>
  </si>
  <si>
    <t>商丘市日月湖项目商土网挂2017-97号</t>
    <phoneticPr fontId="5" type="noConversion"/>
  </si>
  <si>
    <t>商丘市日月湖项目商土网挂2017-98号</t>
    <phoneticPr fontId="5" type="noConversion"/>
  </si>
  <si>
    <t>商丘市日月湖项目商土网挂2017-99号</t>
    <phoneticPr fontId="5" type="noConversion"/>
  </si>
  <si>
    <t>和平路西，支二路南</t>
    <phoneticPr fontId="5" type="noConversion"/>
  </si>
  <si>
    <t>王江泾镇，运河东路西侧，莲雁东路南侧</t>
    <phoneticPr fontId="5" type="noConversion"/>
  </si>
  <si>
    <t>华南路以西，振兴路以北，华西路以东，紫竹路以南</t>
    <phoneticPr fontId="5" type="noConversion"/>
  </si>
  <si>
    <t>华南路以东，振兴路以北，中兴路以西，紫竹路以南</t>
    <phoneticPr fontId="5" type="noConversion"/>
  </si>
  <si>
    <t>铜山区华山路2017-2地块、2017-3地块、2017-4地块</t>
    <phoneticPr fontId="5" type="noConversion"/>
  </si>
  <si>
    <t>崇明区长兴镇G9CM-0901单元12-05地块</t>
    <phoneticPr fontId="5" type="noConversion"/>
  </si>
  <si>
    <t>太仓港区和平路西，支二路南地块（WG2017-1-1）</t>
    <phoneticPr fontId="5" type="noConversion"/>
  </si>
  <si>
    <t>金牛区天回镇街办木龙湾社区2、3、4组</t>
    <phoneticPr fontId="5" type="noConversion"/>
  </si>
  <si>
    <t>金牛区天回镇街道万圣社区居委会3、4、7组</t>
    <phoneticPr fontId="5" type="noConversion"/>
  </si>
  <si>
    <t>建政储出（2017）04地块</t>
    <phoneticPr fontId="5" type="noConversion"/>
  </si>
  <si>
    <t>建政储出（2017）05地块</t>
    <phoneticPr fontId="5" type="noConversion"/>
  </si>
  <si>
    <t>嘉兴乍浦泷悦府项目</t>
    <phoneticPr fontId="5" type="noConversion"/>
  </si>
  <si>
    <t>袍江新区袍渎路2号</t>
    <phoneticPr fontId="5" type="noConversion"/>
  </si>
  <si>
    <t>烟台中南熙悦</t>
    <phoneticPr fontId="5" type="noConversion"/>
  </si>
  <si>
    <t>北侧为黄金河，南侧为黄河路，东侧距离海岸线550</t>
    <phoneticPr fontId="5" type="noConversion"/>
  </si>
  <si>
    <t>光波路西、新光路北侧地块</t>
    <phoneticPr fontId="5" type="noConversion"/>
  </si>
  <si>
    <t>东至：光波路规划道路西红线；南至：新光路规划道路北红线；西至：光谷大道规划道路东红线；北至：市政公司、新奥燃气用地南界址；</t>
    <phoneticPr fontId="5" type="noConversion"/>
  </si>
  <si>
    <t>南通苏通园区地块</t>
    <phoneticPr fontId="5" type="noConversion"/>
  </si>
  <si>
    <t>2017(经）C宿城03</t>
    <phoneticPr fontId="5" type="noConversion"/>
  </si>
  <si>
    <t>2016-G64宝通街南</t>
    <phoneticPr fontId="5" type="noConversion"/>
  </si>
  <si>
    <t>2017-048临沂</t>
    <phoneticPr fontId="5" type="noConversion"/>
  </si>
  <si>
    <t>2017-74</t>
    <phoneticPr fontId="5" type="noConversion"/>
  </si>
  <si>
    <t>广饶34号地块</t>
    <phoneticPr fontId="5" type="noConversion"/>
  </si>
  <si>
    <t>东至河流，南至孙塘北路，西至担山北路，北至北三环东路</t>
    <phoneticPr fontId="5" type="noConversion"/>
  </si>
  <si>
    <t>JK2016－37/中南世纪城东</t>
    <phoneticPr fontId="5" type="noConversion"/>
  </si>
  <si>
    <t>R17023</t>
    <phoneticPr fontId="5" type="noConversion"/>
  </si>
  <si>
    <t>下中坝30号、31号地块</t>
    <phoneticPr fontId="5" type="noConversion"/>
  </si>
  <si>
    <t>GZ063</t>
    <phoneticPr fontId="5" type="noConversion"/>
  </si>
  <si>
    <t>2017A-010</t>
    <phoneticPr fontId="5" type="noConversion"/>
  </si>
  <si>
    <t>演武庄项目</t>
    <phoneticPr fontId="5" type="noConversion"/>
  </si>
  <si>
    <t>佛山三水云东海地块</t>
    <phoneticPr fontId="5" type="noConversion"/>
  </si>
  <si>
    <t>胜宝旺地块</t>
    <phoneticPr fontId="5" type="noConversion"/>
  </si>
  <si>
    <t>东洋制钢地块</t>
    <phoneticPr fontId="5" type="noConversion"/>
  </si>
  <si>
    <t>东：用地界线南：云海路西：抚仙湖街北：沈新路</t>
    <phoneticPr fontId="5" type="noConversion"/>
  </si>
  <si>
    <t>东至高压走廊、南至东湖路西至青邮路、北至印山路</t>
    <phoneticPr fontId="5" type="noConversion"/>
  </si>
  <si>
    <t>银河新区新金西路南侧、金洲路东侧地块</t>
    <phoneticPr fontId="5" type="noConversion"/>
  </si>
  <si>
    <t>占地面积（万㎡）</t>
    <phoneticPr fontId="5" type="noConversion"/>
  </si>
  <si>
    <t>日期</t>
    <phoneticPr fontId="5" type="noConversion"/>
  </si>
  <si>
    <t>通州区城东新区CD47号地块</t>
    <phoneticPr fontId="5" type="noConversion"/>
  </si>
  <si>
    <t>固安一中2016CG-19地块</t>
    <phoneticPr fontId="5" type="noConversion"/>
  </si>
  <si>
    <t>G1723G1724</t>
    <phoneticPr fontId="5" type="noConversion"/>
  </si>
  <si>
    <t>G1719G1720G1721</t>
    <phoneticPr fontId="5" type="noConversion"/>
  </si>
  <si>
    <t>2017嘉秀-003地块</t>
    <phoneticPr fontId="5" type="noConversion"/>
  </si>
  <si>
    <t>马土让2017-1号</t>
    <phoneticPr fontId="5" type="noConversion"/>
  </si>
  <si>
    <t>高淳2017G02地块</t>
    <phoneticPr fontId="5" type="noConversion"/>
  </si>
  <si>
    <t>成华区建设南路</t>
    <phoneticPr fontId="5" type="noConversion"/>
  </si>
  <si>
    <t>2017B-003</t>
    <phoneticPr fontId="5" type="noConversion"/>
  </si>
  <si>
    <t>2017B-001</t>
    <phoneticPr fontId="5" type="noConversion"/>
  </si>
  <si>
    <t>2017A-001</t>
    <phoneticPr fontId="5" type="noConversion"/>
  </si>
  <si>
    <t>2017-2-4地块</t>
    <phoneticPr fontId="5" type="noConversion"/>
  </si>
  <si>
    <t>平湖新仓</t>
    <phoneticPr fontId="5" type="noConversion"/>
  </si>
  <si>
    <t>R17007地块</t>
    <phoneticPr fontId="5" type="noConversion"/>
  </si>
  <si>
    <t>WG2017-12-5</t>
    <phoneticPr fontId="5" type="noConversion"/>
  </si>
  <si>
    <t>CR17014地块</t>
    <phoneticPr fontId="5" type="noConversion"/>
  </si>
  <si>
    <t>HD2017-3044</t>
    <phoneticPr fontId="5" type="noConversion"/>
  </si>
  <si>
    <t>W1701-01地块</t>
    <phoneticPr fontId="5" type="noConversion"/>
  </si>
  <si>
    <t>浐灞世园</t>
    <phoneticPr fontId="5" type="noConversion"/>
  </si>
  <si>
    <t>2017A-007</t>
    <phoneticPr fontId="5" type="noConversion"/>
  </si>
  <si>
    <t>城厢区</t>
    <phoneticPr fontId="5" type="noConversion"/>
  </si>
  <si>
    <r>
      <t>CA01-6-51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 xml:space="preserve">52 </t>
    </r>
    <r>
      <rPr>
        <sz val="11"/>
        <color indexed="8"/>
        <rFont val="宋体"/>
        <family val="2"/>
      </rPr>
      <t>号，</t>
    </r>
    <r>
      <rPr>
        <sz val="11"/>
        <color indexed="8"/>
        <rFont val="Arial"/>
        <family val="2"/>
      </rPr>
      <t>CA01-53-77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>78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 xml:space="preserve">79 </t>
    </r>
    <r>
      <rPr>
        <sz val="11"/>
        <color indexed="8"/>
        <rFont val="宋体"/>
        <family val="2"/>
      </rPr>
      <t>号地块</t>
    </r>
    <phoneticPr fontId="5" type="noConversion"/>
  </si>
  <si>
    <r>
      <rPr>
        <sz val="11"/>
        <color indexed="8"/>
        <rFont val="宋体"/>
        <family val="2"/>
      </rPr>
      <t>白云山国际休闲养生度假区</t>
    </r>
    <r>
      <rPr>
        <sz val="11"/>
        <color indexed="8"/>
        <rFont val="Arial"/>
        <family val="2"/>
      </rPr>
      <t>SG2011110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 xml:space="preserve">SG2011111 </t>
    </r>
    <r>
      <rPr>
        <sz val="11"/>
        <color indexed="8"/>
        <rFont val="宋体"/>
        <family val="2"/>
      </rPr>
      <t>地块</t>
    </r>
    <phoneticPr fontId="5" type="noConversion"/>
  </si>
  <si>
    <r>
      <t>JY19-103/104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</si>
  <si>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盐城</t>
    <phoneticPr fontId="5" type="noConversion"/>
  </si>
  <si>
    <r>
      <rPr>
        <sz val="11"/>
        <color indexed="8"/>
        <rFont val="宋体"/>
        <family val="1"/>
        <charset val="204"/>
      </rPr>
      <t>烟</t>
    </r>
    <r>
      <rPr>
        <sz val="11"/>
        <color indexed="8"/>
        <rFont val="Arial"/>
        <family val="2"/>
      </rPr>
      <t>J[2020]2002</t>
    </r>
    <r>
      <rPr>
        <sz val="11"/>
        <color indexed="8"/>
        <rFont val="宋体"/>
        <family val="1"/>
        <charset val="204"/>
      </rPr>
      <t>号</t>
    </r>
    <phoneticPr fontId="5" type="noConversion"/>
  </si>
  <si>
    <t>临港区</t>
    <phoneticPr fontId="5" type="noConversion"/>
  </si>
  <si>
    <t>临港区</t>
    <phoneticPr fontId="5" type="noConversion"/>
  </si>
  <si>
    <t>威海</t>
    <phoneticPr fontId="5" type="noConversion"/>
  </si>
  <si>
    <t>备注</t>
    <phoneticPr fontId="5" type="noConversion"/>
  </si>
  <si>
    <t>房天下</t>
    <phoneticPr fontId="5" type="noConversion"/>
  </si>
  <si>
    <t>https://yt.newhouse.fang.com/loupan/2416163743.htm</t>
    <phoneticPr fontId="5" type="noConversion"/>
  </si>
  <si>
    <t>https://qd.newhouse.fang.com/loupan/2411123549.htm</t>
    <phoneticPr fontId="5" type="noConversion"/>
  </si>
  <si>
    <t>规划建筑面积（㎡）</t>
    <phoneticPr fontId="5" type="noConversion"/>
  </si>
  <si>
    <t>土地价款（万元）</t>
    <phoneticPr fontId="5" type="noConversion"/>
  </si>
  <si>
    <t>权益总价（万元）</t>
    <phoneticPr fontId="5" type="noConversion"/>
  </si>
  <si>
    <t>历下区</t>
    <phoneticPr fontId="5" type="noConversion"/>
  </si>
  <si>
    <r>
      <t>2020-076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</si>
  <si>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备注</t>
    <phoneticPr fontId="5" type="noConversion"/>
  </si>
  <si>
    <t>https://linyi.newhouse.fang.com/loupan/2423155191.htm</t>
    <phoneticPr fontId="5" type="noConversion"/>
  </si>
  <si>
    <t>淮阴区</t>
  </si>
  <si>
    <t>海门市</t>
  </si>
  <si>
    <t>金华</t>
  </si>
  <si>
    <t>婺城区</t>
  </si>
  <si>
    <t>绍兴</t>
  </si>
  <si>
    <t>诸暨市</t>
  </si>
  <si>
    <t>西咸新区</t>
  </si>
  <si>
    <t>重庆</t>
  </si>
  <si>
    <t>五华区</t>
  </si>
  <si>
    <t>官渡区</t>
  </si>
  <si>
    <t>普洱</t>
  </si>
  <si>
    <t>澜沧县</t>
  </si>
  <si>
    <t>龙里县</t>
  </si>
  <si>
    <t>三水区</t>
  </si>
  <si>
    <t>中山</t>
  </si>
  <si>
    <t>泉州</t>
  </si>
  <si>
    <t>晋江市</t>
  </si>
  <si>
    <t>南宁</t>
  </si>
  <si>
    <t>良庆区</t>
  </si>
  <si>
    <t>占地面积（万㎡）</t>
  </si>
  <si>
    <t>土地价款（亿元）</t>
  </si>
  <si>
    <t>黔南州</t>
    <phoneticPr fontId="5" type="noConversion"/>
  </si>
  <si>
    <t>KCWH2018-6\KCWH2018-14-A1号地块</t>
    <phoneticPr fontId="5" type="noConversion"/>
  </si>
  <si>
    <r>
      <rPr>
        <sz val="11"/>
        <color indexed="8"/>
        <rFont val="宋体"/>
        <family val="1"/>
        <charset val="204"/>
      </rPr>
      <t>三叶轮胎厂</t>
    </r>
    <r>
      <rPr>
        <sz val="11"/>
        <color indexed="8"/>
        <rFont val="Arial"/>
        <family val="2"/>
      </rPr>
      <t>A1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A2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</si>
  <si>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t>KCGD2015-9-A3 号地块</t>
    <phoneticPr fontId="5" type="noConversion"/>
  </si>
  <si>
    <t>良庆区那马镇地块</t>
    <phoneticPr fontId="5" type="noConversion"/>
  </si>
  <si>
    <t>https://nn.newhouse.fang.com/house/2910195952/dongtai_1,2.htm</t>
    <phoneticPr fontId="5" type="noConversion"/>
  </si>
  <si>
    <r>
      <rPr>
        <sz val="11"/>
        <color theme="1"/>
        <rFont val="宋体"/>
        <family val="3"/>
        <charset val="134"/>
      </rPr>
      <t>均价</t>
    </r>
    <r>
      <rPr>
        <sz val="11"/>
        <color theme="1"/>
        <rFont val="Arial"/>
        <family val="2"/>
      </rPr>
      <t>8000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</t>
    </r>
    <phoneticPr fontId="5" type="noConversion"/>
  </si>
  <si>
    <r>
      <t xml:space="preserve">GC2020-109 </t>
    </r>
    <r>
      <rPr>
        <sz val="11"/>
        <color indexed="8"/>
        <rFont val="宋体"/>
        <family val="2"/>
      </rPr>
      <t>地块</t>
    </r>
    <phoneticPr fontId="5" type="noConversion"/>
  </si>
  <si>
    <t>GC2020-110 地块</t>
    <phoneticPr fontId="5" type="noConversion"/>
  </si>
  <si>
    <t>GC2020-113 地块</t>
    <phoneticPr fontId="5" type="noConversion"/>
  </si>
  <si>
    <t>万有文旅拿地</t>
    <phoneticPr fontId="5" type="noConversion"/>
  </si>
  <si>
    <t>大唐地产竟得，靠近地铁站玉洞站</t>
    <phoneticPr fontId="5" type="noConversion"/>
  </si>
  <si>
    <t>G20-2020-0122 地块</t>
    <phoneticPr fontId="5" type="noConversion"/>
  </si>
  <si>
    <t>西区街道</t>
    <phoneticPr fontId="5" type="noConversion"/>
  </si>
  <si>
    <t>https://wz.newhouse.fang.com/loupan/2012202832/dongtai/</t>
    <phoneticPr fontId="5" type="noConversion"/>
  </si>
  <si>
    <t>https://wz.newhouse.fang.com/loupan/2012202788/dongtai/</t>
    <phoneticPr fontId="5" type="noConversion"/>
  </si>
  <si>
    <r>
      <rPr>
        <sz val="11"/>
        <color theme="1"/>
        <rFont val="宋体"/>
        <family val="3"/>
        <charset val="134"/>
      </rPr>
      <t>中南漫悦湾，毛坯均价</t>
    </r>
    <r>
      <rPr>
        <sz val="11"/>
        <color theme="1"/>
        <rFont val="Arial"/>
        <family val="2"/>
      </rPr>
      <t>9747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㎡，</t>
    </r>
    <r>
      <rPr>
        <sz val="11"/>
        <color theme="1"/>
        <rFont val="Arial"/>
        <family val="2"/>
      </rPr>
      <t>2020-08-23</t>
    </r>
    <r>
      <rPr>
        <sz val="11"/>
        <color theme="1"/>
        <rFont val="宋体"/>
        <family val="3"/>
        <charset val="134"/>
      </rPr>
      <t>开盘</t>
    </r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</si>
  <si>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紫云集里，毛坯均价</t>
    </r>
    <r>
      <rPr>
        <sz val="11"/>
        <color theme="1"/>
        <rFont val="Arial"/>
        <family val="2"/>
      </rPr>
      <t>19972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㎡，</t>
    </r>
    <r>
      <rPr>
        <sz val="11"/>
        <color theme="1"/>
        <rFont val="Arial"/>
        <family val="2"/>
      </rPr>
      <t>2020-10-31</t>
    </r>
    <r>
      <rPr>
        <sz val="11"/>
        <color theme="1"/>
        <rFont val="宋体"/>
        <family val="3"/>
        <charset val="134"/>
      </rPr>
      <t>开盘</t>
    </r>
    <phoneticPr fontId="5" type="noConversion"/>
  </si>
  <si>
    <t>https://wz.newhouse.fang.com/loupan/2012202854.htm</t>
    <phoneticPr fontId="5" type="noConversion"/>
  </si>
  <si>
    <r>
      <rPr>
        <sz val="11"/>
        <color theme="1"/>
        <rFont val="宋体"/>
        <family val="3"/>
        <charset val="134"/>
      </rPr>
      <t>金科中南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未来都会，毛坯均价</t>
    </r>
    <r>
      <rPr>
        <sz val="11"/>
        <color theme="1"/>
        <rFont val="Arial"/>
        <family val="2"/>
      </rPr>
      <t>12650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㎡，</t>
    </r>
    <r>
      <rPr>
        <sz val="11"/>
        <color theme="1"/>
        <rFont val="Arial"/>
        <family val="2"/>
      </rPr>
      <t>2020-09-20</t>
    </r>
    <r>
      <rPr>
        <sz val="11"/>
        <color theme="1"/>
        <rFont val="宋体"/>
        <family val="3"/>
        <charset val="134"/>
      </rPr>
      <t>开盘</t>
    </r>
    <phoneticPr fontId="5" type="noConversion"/>
  </si>
  <si>
    <t>https://wz.newhouse.fang.com/loupan/2012202946.htm</t>
    <phoneticPr fontId="5" type="noConversion"/>
  </si>
  <si>
    <t>春风里，毛坯均价15428元/㎡，2020-11-28开盘</t>
    <phoneticPr fontId="5" type="noConversion"/>
  </si>
  <si>
    <r>
      <rPr>
        <sz val="11"/>
        <color theme="1"/>
        <rFont val="宋体"/>
        <family val="3"/>
        <charset val="134"/>
      </rPr>
      <t>旁边有在建中小学新校区，北邻龙江玖锦价格</t>
    </r>
    <r>
      <rPr>
        <sz val="11"/>
        <color theme="1"/>
        <rFont val="Arial"/>
        <family val="2"/>
      </rPr>
      <t>1.56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</si>
  <si>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https://jinjiang.newhouse.fang.com/loupan/2215169014.htm</t>
    <phoneticPr fontId="5" type="noConversion"/>
  </si>
  <si>
    <t>紧邻晋江实验中学、宝龙城市广场，毛坯限价，销售均价1.16万</t>
    <phoneticPr fontId="5" type="noConversion"/>
  </si>
  <si>
    <t>东邻莆田一中，毛坯限价1.79万，精装修有2000至6000多种套餐</t>
    <phoneticPr fontId="5" type="noConversion"/>
  </si>
  <si>
    <r>
      <t xml:space="preserve">P2020-23 </t>
    </r>
    <r>
      <rPr>
        <sz val="11"/>
        <color indexed="8"/>
        <rFont val="宋体"/>
        <family val="2"/>
      </rPr>
      <t>号地块</t>
    </r>
    <phoneticPr fontId="5" type="noConversion"/>
  </si>
  <si>
    <t>泉州</t>
    <phoneticPr fontId="5" type="noConversion"/>
  </si>
  <si>
    <r>
      <rPr>
        <sz val="11"/>
        <color theme="1"/>
        <rFont val="宋体"/>
        <family val="3"/>
        <charset val="134"/>
      </rPr>
      <t>北邻</t>
    </r>
    <r>
      <rPr>
        <sz val="11"/>
        <color theme="1"/>
        <rFont val="Arial"/>
        <family val="2"/>
      </rPr>
      <t>P2019-36</t>
    </r>
    <r>
      <rPr>
        <sz val="11"/>
        <color theme="1"/>
        <rFont val="宋体"/>
        <family val="3"/>
        <charset val="134"/>
      </rPr>
      <t>号地块</t>
    </r>
    <phoneticPr fontId="5" type="noConversion"/>
  </si>
  <si>
    <r>
      <t xml:space="preserve">P2020-4 </t>
    </r>
    <r>
      <rPr>
        <sz val="11"/>
        <color indexed="8"/>
        <rFont val="宋体"/>
        <family val="2"/>
      </rPr>
      <t>号地块</t>
    </r>
    <phoneticPr fontId="5" type="noConversion"/>
  </si>
  <si>
    <t>紧邻晋江市政府、军民小学、福埔小学</t>
    <phoneticPr fontId="5" type="noConversion"/>
  </si>
  <si>
    <t>2020-6 号地块</t>
    <phoneticPr fontId="5" type="noConversion"/>
  </si>
  <si>
    <r>
      <t>TD2020(SD)WG0015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</si>
  <si>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https://fs.newhouse.fang.com/loupan/2822157546/dongtai/</t>
    <phoneticPr fontId="5" type="noConversion"/>
  </si>
  <si>
    <t>中南春风南岸，旁边龙光玖龙玺2.3万</t>
    <phoneticPr fontId="5" type="noConversion"/>
  </si>
  <si>
    <t>https://jm.newhouse.fang.com/loupan/2821145140.htm</t>
    <phoneticPr fontId="5" type="noConversion"/>
  </si>
  <si>
    <t>新会区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</si>
  <si>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春风里花苑，旁边今古洲花园卖1.7万</t>
    </r>
    <phoneticPr fontId="5" type="noConversion"/>
  </si>
  <si>
    <t>TD2020(SS)WP0002 地块</t>
    <phoneticPr fontId="5" type="noConversion"/>
  </si>
  <si>
    <r>
      <rPr>
        <sz val="11"/>
        <color theme="1"/>
        <rFont val="宋体"/>
        <family val="3"/>
        <charset val="134"/>
      </rPr>
      <t>旁边龙光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碧桂园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悦府售价</t>
    </r>
    <r>
      <rPr>
        <sz val="11"/>
        <color theme="1"/>
        <rFont val="Arial"/>
        <family val="2"/>
      </rPr>
      <t>1.15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</si>
  <si>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rPr>
        <sz val="11"/>
        <color theme="1"/>
        <rFont val="宋体"/>
        <family val="3"/>
        <charset val="134"/>
      </rPr>
      <t>西区平均房价</t>
    </r>
    <r>
      <rPr>
        <sz val="11"/>
        <color theme="1"/>
        <rFont val="Arial"/>
        <family val="2"/>
      </rPr>
      <t>13700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㎡，热门的彩虹片区房价</t>
    </r>
    <r>
      <rPr>
        <sz val="11"/>
        <color theme="1"/>
        <rFont val="Arial"/>
        <family val="2"/>
      </rPr>
      <t>15000-17000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㎡。</t>
    </r>
    <phoneticPr fontId="5" type="noConversion"/>
  </si>
  <si>
    <r>
      <t>G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Arial"/>
        <family val="2"/>
      </rPr>
      <t>20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Arial"/>
        <family val="2"/>
      </rPr>
      <t>031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</si>
  <si>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观山湖区</t>
    <phoneticPr fontId="5" type="noConversion"/>
  </si>
  <si>
    <t>中南紫云集，旁边的保利·大国璟2020年毛坯均价1.25万</t>
    <phoneticPr fontId="5" type="noConversion"/>
  </si>
  <si>
    <t>龙里县</t>
    <phoneticPr fontId="5" type="noConversion"/>
  </si>
  <si>
    <r>
      <t>CHZ20180118-1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Arial"/>
        <family val="2"/>
      </rPr>
      <t>CHZ20180118-2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Arial"/>
        <family val="2"/>
      </rPr>
      <t>CHZ20180118-3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</si>
  <si>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CHZ20180206-1、CHZ20180206-2、CHZ20180206-3 地块</t>
    <phoneticPr fontId="5" type="noConversion"/>
  </si>
  <si>
    <t>黔南州</t>
    <phoneticPr fontId="5" type="noConversion"/>
  </si>
  <si>
    <t>https://gy.newhouse.fang.com/loupan/3314142064/dongtai/</t>
    <phoneticPr fontId="5" type="noConversion"/>
  </si>
  <si>
    <t>https://www.fang.com/xinfang/gy-3314142014/</t>
    <phoneticPr fontId="5" type="noConversion"/>
  </si>
  <si>
    <r>
      <rPr>
        <sz val="11"/>
        <color theme="1"/>
        <rFont val="宋体"/>
        <family val="3"/>
        <charset val="134"/>
      </rPr>
      <t>中南菩悦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春山居，周边价格6800</t>
    </r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</si>
  <si>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上悦城，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月开盘，套内约</t>
    </r>
    <r>
      <rPr>
        <sz val="11"/>
        <color theme="1"/>
        <rFont val="Arial"/>
        <family val="2"/>
      </rPr>
      <t>1.46-1.74</t>
    </r>
    <r>
      <rPr>
        <sz val="11"/>
        <color theme="1"/>
        <rFont val="宋体"/>
        <family val="3"/>
        <charset val="134"/>
      </rPr>
      <t>万元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</t>
    </r>
    <phoneticPr fontId="5" type="noConversion"/>
  </si>
  <si>
    <t>https://cq.newhouse.fang.com/loupan/3110123592/dongtai/</t>
    <phoneticPr fontId="5" type="noConversion"/>
  </si>
  <si>
    <r>
      <rPr>
        <sz val="11"/>
        <color theme="1"/>
        <rFont val="宋体"/>
        <family val="3"/>
        <charset val="134"/>
      </rPr>
      <t>中南华宇君启，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月开盘，销售均价</t>
    </r>
    <r>
      <rPr>
        <sz val="11"/>
        <color theme="1"/>
        <rFont val="Arial"/>
        <family val="2"/>
      </rPr>
      <t>2.3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</si>
  <si>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https://cd.newhouse.fang.com/loupan/3210163586/housedetail.htm</t>
    <phoneticPr fontId="5" type="noConversion"/>
  </si>
  <si>
    <t>粼云上府项目，2020/12/2开盘，洋房1.68万</t>
    <phoneticPr fontId="5" type="noConversion"/>
  </si>
  <si>
    <t>TNC2020-36 地块</t>
    <phoneticPr fontId="5" type="noConversion"/>
  </si>
  <si>
    <t>潼南区</t>
    <phoneticPr fontId="5" type="noConversion"/>
  </si>
  <si>
    <t>https://cd.newhouse.fang.com/loupan/3210163190/housedetail.htm</t>
    <phoneticPr fontId="5" type="noConversion"/>
  </si>
  <si>
    <t>重庆万涪达2020年9月29日竟得，周边均价6200</t>
    <phoneticPr fontId="5" type="noConversion"/>
  </si>
  <si>
    <r>
      <rPr>
        <sz val="11"/>
        <color indexed="8"/>
        <rFont val="宋体"/>
        <family val="1"/>
        <charset val="204"/>
      </rPr>
      <t>（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）</t>
    </r>
    <r>
      <rPr>
        <sz val="11"/>
        <color indexed="8"/>
        <rFont val="Arial"/>
        <family val="2"/>
      </rPr>
      <t>5</t>
    </r>
    <r>
      <rPr>
        <sz val="11"/>
        <color indexed="8"/>
        <rFont val="宋体"/>
        <family val="1"/>
        <charset val="204"/>
      </rPr>
      <t>号、</t>
    </r>
    <r>
      <rPr>
        <sz val="11"/>
        <color indexed="8"/>
        <rFont val="Arial"/>
        <family val="2"/>
      </rPr>
      <t>6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</si>
  <si>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t>https://danzhou.focus.cn/loupan/110137649/dongtai/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</si>
  <si>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智慧城，打造儋州约50万㎡新一代旅居综合体，10#楼预计2021年1月30日开盘，主推户型为建面45㎡精装SOHO，周边均价9000</t>
    </r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</si>
  <si>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宸悦，学校医院配套齐全，周边价格</t>
    </r>
    <r>
      <rPr>
        <sz val="11"/>
        <color theme="1"/>
        <rFont val="Arial"/>
        <family val="2"/>
      </rPr>
      <t>1.4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</si>
  <si>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rPr>
        <sz val="11"/>
        <color indexed="8"/>
        <rFont val="宋体"/>
        <family val="2"/>
      </rPr>
      <t>城东</t>
    </r>
    <r>
      <rPr>
        <sz val="11"/>
        <color indexed="8"/>
        <rFont val="Arial"/>
        <family val="2"/>
      </rPr>
      <t xml:space="preserve"> 43 </t>
    </r>
    <r>
      <rPr>
        <sz val="11"/>
        <color indexed="8"/>
        <rFont val="宋体"/>
        <family val="2"/>
      </rPr>
      <t>亩地块</t>
    </r>
    <phoneticPr fontId="5" type="noConversion"/>
  </si>
  <si>
    <t>https://xian.newhouse.fang.com/loupan/3610192042/dongtai/</t>
    <phoneticPr fontId="5" type="noConversion"/>
  </si>
  <si>
    <t>中南春风里，周边学校较多，2020年11月28日开盘，均价9700元/㎡</t>
    <phoneticPr fontId="5" type="noConversion"/>
  </si>
  <si>
    <r>
      <rPr>
        <sz val="11"/>
        <color indexed="8"/>
        <rFont val="宋体"/>
        <family val="1"/>
        <charset val="204"/>
      </rPr>
      <t>漫悦湾</t>
    </r>
    <r>
      <rPr>
        <sz val="11"/>
        <color indexed="8"/>
        <rFont val="Arial"/>
        <family val="2"/>
      </rPr>
      <t>(</t>
    </r>
    <r>
      <rPr>
        <sz val="11"/>
        <color indexed="8"/>
        <rFont val="宋体"/>
        <family val="1"/>
        <charset val="204"/>
      </rPr>
      <t>沣东</t>
    </r>
    <r>
      <rPr>
        <sz val="11"/>
        <color indexed="8"/>
        <rFont val="Arial"/>
        <family val="2"/>
      </rPr>
      <t>50</t>
    </r>
    <r>
      <rPr>
        <sz val="11"/>
        <color indexed="8"/>
        <rFont val="宋体"/>
        <family val="1"/>
        <charset val="204"/>
      </rPr>
      <t>亩）地块</t>
    </r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</si>
  <si>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漫悦湾，均价1.6万</t>
    </r>
    <phoneticPr fontId="5" type="noConversion"/>
  </si>
  <si>
    <t>西咸新区</t>
    <phoneticPr fontId="5" type="noConversion"/>
  </si>
  <si>
    <t>FD2-7-16 地块</t>
    <phoneticPr fontId="5" type="noConversion"/>
  </si>
  <si>
    <r>
      <rPr>
        <sz val="11"/>
        <color theme="1"/>
        <rFont val="宋体"/>
        <family val="3"/>
        <charset val="134"/>
      </rPr>
      <t>综合楼面价</t>
    </r>
    <r>
      <rPr>
        <sz val="11"/>
        <color theme="1"/>
        <rFont val="Arial"/>
        <family val="2"/>
      </rPr>
      <t>5134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㎡，中南上悦城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期，前两期均价</t>
    </r>
    <r>
      <rPr>
        <sz val="11"/>
        <color theme="1"/>
        <rFont val="Arial"/>
        <family val="2"/>
      </rPr>
      <t>1.55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</si>
  <si>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春风南岸，上期均价</t>
    </r>
    <r>
      <rPr>
        <sz val="11"/>
        <color theme="1"/>
        <rFont val="Arial"/>
        <family val="2"/>
      </rPr>
      <t>1.7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</si>
  <si>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https://xian.newhouse.fang.com/loupan/3610191422/housedetail.htm</t>
    <phoneticPr fontId="5" type="noConversion"/>
  </si>
  <si>
    <t>https://xian.newhouse.fang.com/house/3610190668/dongtai_2,1.htm</t>
    <phoneticPr fontId="5" type="noConversion"/>
  </si>
  <si>
    <t>https://xian.newhouse.fang.com/loupan/3610190472/dongtai/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</si>
  <si>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樾府，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月开盘，小高层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万，洋房</t>
    </r>
    <r>
      <rPr>
        <sz val="11"/>
        <color theme="1"/>
        <rFont val="Arial"/>
        <family val="2"/>
      </rPr>
      <t>1.7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</si>
  <si>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https://linyi.newhouse.fang.com/loupan/2423155335.htm</t>
    <phoneticPr fontId="5" type="noConversion"/>
  </si>
  <si>
    <t>中南紫云集，2020年9月开盘，高层1.15万，洋房1.35万</t>
    <phoneticPr fontId="5" type="noConversion"/>
  </si>
  <si>
    <t>中南天樾，旁边二手房卖2.3万</t>
    <phoneticPr fontId="5" type="noConversion"/>
  </si>
  <si>
    <t>中南春风南岸，20年12月开盘，高层毛坯1万，洋房1.35万</t>
    <phoneticPr fontId="5" type="noConversion"/>
  </si>
  <si>
    <t>https://linyi.newhouse.fang.com/loupan/2423155393/dongtai/</t>
    <phoneticPr fontId="5" type="noConversion"/>
  </si>
  <si>
    <t>中南林樾2期，1期叠墅3万，高层1.8万，均价2.19万</t>
    <phoneticPr fontId="5" type="noConversion"/>
  </si>
  <si>
    <t>https://linyi.newhouse.fang.com/loupan/2423155191/dongtai/</t>
    <phoneticPr fontId="5" type="noConversion"/>
  </si>
  <si>
    <t>蓝光拿地，与中南合作开发。旁边万科烟台莱山区书城项目1.5万</t>
    <phoneticPr fontId="5" type="noConversion"/>
  </si>
  <si>
    <t>https://huzhou.newhouse.fang.com/loupan/2013198136.htm</t>
    <phoneticPr fontId="5" type="noConversion"/>
  </si>
  <si>
    <t>中南林樾，毛坯1.5万？</t>
    <phoneticPr fontId="5" type="noConversion"/>
  </si>
  <si>
    <t>湖师附小南地块</t>
    <phoneticPr fontId="5" type="noConversion"/>
  </si>
  <si>
    <t>南浔区</t>
    <phoneticPr fontId="5" type="noConversion"/>
  </si>
  <si>
    <t>紧邻湖州师范学院南浔附属小学，旁边华夏幸福的新南浔孔雀城毛坯价1万。2018年7月华夏拿地价格4128，碧桂园拿地4974.</t>
    <phoneticPr fontId="5" type="noConversion"/>
  </si>
  <si>
    <t>大池墩地块</t>
    <phoneticPr fontId="5" type="noConversion"/>
  </si>
  <si>
    <t>https://nb.newhouse.fang.com/loupan/2011124354.htm</t>
    <phoneticPr fontId="5" type="noConversion"/>
  </si>
  <si>
    <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29</t>
    </r>
    <r>
      <rPr>
        <sz val="11"/>
        <color theme="1"/>
        <rFont val="宋体"/>
        <family val="3"/>
        <charset val="134"/>
      </rPr>
      <t>日首期已开盘，总价</t>
    </r>
    <r>
      <rPr>
        <sz val="11"/>
        <color theme="1"/>
        <rFont val="Arial"/>
        <family val="2"/>
      </rPr>
      <t>120</t>
    </r>
    <r>
      <rPr>
        <sz val="11"/>
        <color theme="1"/>
        <rFont val="宋体"/>
        <family val="3"/>
        <charset val="134"/>
      </rPr>
      <t>万元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套起</t>
    </r>
    <phoneticPr fontId="5" type="noConversion"/>
  </si>
  <si>
    <t>泗门全民健身中心东南侧地块</t>
    <phoneticPr fontId="5" type="noConversion"/>
  </si>
  <si>
    <t>五庙江北侧地块</t>
    <phoneticPr fontId="5" type="noConversion"/>
  </si>
  <si>
    <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日由深圳力高鸿业竟得，案名耀悦云庭，耀悦云庭已于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28</t>
    </r>
    <r>
      <rPr>
        <sz val="11"/>
        <color theme="1"/>
        <rFont val="宋体"/>
        <family val="3"/>
        <charset val="134"/>
      </rPr>
      <t>日开盘，开盘即售罄，毛坯均价</t>
    </r>
    <r>
      <rPr>
        <sz val="11"/>
        <color theme="1"/>
        <rFont val="Arial"/>
        <family val="2"/>
      </rPr>
      <t>1.06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</si>
  <si>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rPr>
        <sz val="11"/>
        <color theme="1"/>
        <rFont val="宋体"/>
        <family val="3"/>
        <charset val="134"/>
      </rPr>
      <t>宁海甲由申置业于</t>
    </r>
    <r>
      <rPr>
        <sz val="11"/>
        <color theme="1"/>
        <rFont val="Arial"/>
        <family val="2"/>
      </rPr>
      <t>19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日竟得，楼面价</t>
    </r>
    <r>
      <rPr>
        <sz val="11"/>
        <color theme="1"/>
        <rFont val="Arial"/>
        <family val="2"/>
      </rPr>
      <t>3000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宋体"/>
        <family val="3"/>
        <charset val="134"/>
      </rPr>
      <t>案名中南春风江南院？</t>
    </r>
    <phoneticPr fontId="5" type="noConversion"/>
  </si>
  <si>
    <t>新五中地块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</si>
  <si>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君启，周边二手均价1.2万，位置不错，地铁沿线，旁边在建新五中</t>
    </r>
    <phoneticPr fontId="5" type="noConversion"/>
  </si>
  <si>
    <r>
      <rPr>
        <sz val="11"/>
        <color indexed="8"/>
        <rFont val="宋体"/>
        <family val="1"/>
        <charset val="204"/>
      </rPr>
      <t>头门港金沙湾</t>
    </r>
    <r>
      <rPr>
        <sz val="11"/>
        <color indexed="8"/>
        <rFont val="Arial"/>
        <family val="2"/>
      </rPr>
      <t>D2-11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</si>
  <si>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t>https://tz.newhouse.fang.com/loupan/2019202816/housedetail.htm</t>
    <phoneticPr fontId="5" type="noConversion"/>
  </si>
  <si>
    <t>https://nb.newhouse.fang.com/loupan/2011124634.htm</t>
    <phoneticPr fontId="5" type="noConversion"/>
  </si>
  <si>
    <t>中南珑悦，20年12月30日首次开盘，房天下参考均价8600，乐居指导价9950</t>
    <phoneticPr fontId="5" type="noConversion"/>
  </si>
  <si>
    <r>
      <rPr>
        <sz val="11"/>
        <color theme="1"/>
        <rFont val="宋体"/>
        <family val="3"/>
        <charset val="134"/>
      </rPr>
      <t>中南九龙澜邸，均价</t>
    </r>
    <r>
      <rPr>
        <sz val="11"/>
        <color theme="1"/>
        <rFont val="Arial"/>
        <family val="2"/>
      </rPr>
      <t>1.3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</si>
  <si>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https://hz.newhouse.fang.com/loupan/2010187340.htm</t>
    <phoneticPr fontId="5" type="noConversion"/>
  </si>
  <si>
    <r>
      <rPr>
        <sz val="11"/>
        <color theme="1"/>
        <rFont val="宋体"/>
        <family val="3"/>
        <charset val="134"/>
      </rPr>
      <t>德信中南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江上云起，毛坯，周边均价1.2万+</t>
    </r>
    <phoneticPr fontId="5" type="noConversion"/>
  </si>
  <si>
    <t>https://shangyu.newhouse.fang.com/loupan/2031164132/housedetail.htm</t>
    <phoneticPr fontId="5" type="noConversion"/>
  </si>
  <si>
    <t>中南君启，首开20年11月27日，均价2.12万</t>
    <phoneticPr fontId="5" type="noConversion"/>
  </si>
  <si>
    <t>https://sx.newhouse.fang.com/loupan/2015181916.htm</t>
    <phoneticPr fontId="5" type="noConversion"/>
  </si>
  <si>
    <t>宝龙竟得，宝龙金科杭越府，毛坯均价1.08万</t>
    <phoneticPr fontId="5" type="noConversion"/>
  </si>
  <si>
    <r>
      <rPr>
        <sz val="11"/>
        <color theme="1"/>
        <rFont val="宋体"/>
        <family val="3"/>
        <charset val="134"/>
      </rPr>
      <t>中南新悦府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期？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期毛坯均价</t>
    </r>
    <r>
      <rPr>
        <sz val="11"/>
        <color theme="1"/>
        <rFont val="Arial"/>
        <family val="2"/>
      </rPr>
      <t>1.4</t>
    </r>
    <r>
      <rPr>
        <sz val="11"/>
        <color theme="1"/>
        <rFont val="宋体"/>
        <family val="3"/>
        <charset val="134"/>
      </rPr>
      <t>万</t>
    </r>
    <phoneticPr fontId="5" type="noConversion"/>
  </si>
  <si>
    <t>越宁路地块</t>
    <phoneticPr fontId="5" type="noConversion"/>
  </si>
  <si>
    <r>
      <rPr>
        <sz val="11"/>
        <color theme="1"/>
        <rFont val="宋体"/>
        <family val="3"/>
        <charset val="134"/>
      </rPr>
      <t>旁边栖月开化府毛坯高层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万，联排</t>
    </r>
    <r>
      <rPr>
        <sz val="11"/>
        <color theme="1"/>
        <rFont val="Arial"/>
        <family val="2"/>
      </rPr>
      <t>1.1</t>
    </r>
    <r>
      <rPr>
        <sz val="11"/>
        <color theme="1"/>
        <rFont val="宋体"/>
        <family val="3"/>
        <charset val="134"/>
      </rPr>
      <t>万</t>
    </r>
    <phoneticPr fontId="5" type="noConversion"/>
  </si>
  <si>
    <t>欢乐世界路与越宁路交叉口东北侧地块</t>
    <phoneticPr fontId="5" type="noConversion"/>
  </si>
  <si>
    <t>祥生竟得，与越宁路地块相邻</t>
    <phoneticPr fontId="5" type="noConversion"/>
  </si>
  <si>
    <r>
      <t>F7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 xml:space="preserve">8 </t>
    </r>
    <r>
      <rPr>
        <sz val="11"/>
        <color indexed="8"/>
        <rFont val="宋体"/>
        <family val="2"/>
      </rPr>
      <t>地块</t>
    </r>
    <phoneticPr fontId="5" type="noConversion"/>
  </si>
  <si>
    <t>经济技术开发区</t>
    <phoneticPr fontId="5" type="noConversion"/>
  </si>
  <si>
    <t>睢宁永安路南地块</t>
    <phoneticPr fontId="5" type="noConversion"/>
  </si>
  <si>
    <r>
      <rPr>
        <sz val="11"/>
        <color theme="1"/>
        <rFont val="宋体"/>
        <family val="3"/>
        <charset val="134"/>
      </rPr>
      <t>璞境，乐居参考价</t>
    </r>
    <r>
      <rPr>
        <sz val="11"/>
        <color theme="1"/>
        <rFont val="Arial"/>
        <family val="2"/>
      </rPr>
      <t>4.5</t>
    </r>
    <r>
      <rPr>
        <sz val="11"/>
        <color theme="1"/>
        <rFont val="宋体"/>
        <family val="3"/>
        <charset val="134"/>
      </rPr>
      <t>万至</t>
    </r>
    <r>
      <rPr>
        <sz val="11"/>
        <color theme="1"/>
        <rFont val="Arial"/>
        <family val="2"/>
      </rPr>
      <t>5.5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</si>
  <si>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https://nanjing.newhouse.fang.com/loupan/1810180540.htm</t>
    <phoneticPr fontId="5" type="noConversion"/>
  </si>
  <si>
    <r>
      <t>NO.</t>
    </r>
    <r>
      <rPr>
        <sz val="11"/>
        <color indexed="8"/>
        <rFont val="宋体"/>
        <family val="3"/>
        <charset val="134"/>
      </rPr>
      <t>高淳</t>
    </r>
    <r>
      <rPr>
        <sz val="11"/>
        <color indexed="8"/>
        <rFont val="Arial"/>
        <family val="2"/>
      </rPr>
      <t>2020G09</t>
    </r>
    <phoneticPr fontId="5" type="noConversion"/>
  </si>
  <si>
    <t>旁边均价1万</t>
    <phoneticPr fontId="5" type="noConversion"/>
  </si>
  <si>
    <r>
      <t xml:space="preserve">2020G83 </t>
    </r>
    <r>
      <rPr>
        <sz val="11"/>
        <color indexed="8"/>
        <rFont val="宋体"/>
        <family val="2"/>
      </rPr>
      <t>地块</t>
    </r>
    <phoneticPr fontId="5" type="noConversion"/>
  </si>
  <si>
    <t>http://newhouse.nj.house365.com/xinlinG83dikuai/sellinfo/2422555.html</t>
    <phoneticPr fontId="5" type="noConversion"/>
  </si>
  <si>
    <t>https://house.leju.com/hf171400/</t>
    <phoneticPr fontId="5" type="noConversion"/>
  </si>
  <si>
    <r>
      <rPr>
        <sz val="11"/>
        <color theme="1"/>
        <rFont val="宋体"/>
        <family val="3"/>
        <charset val="134"/>
      </rPr>
      <t>中南仙林</t>
    </r>
    <r>
      <rPr>
        <sz val="11"/>
        <color theme="1"/>
        <rFont val="Arial"/>
        <family val="2"/>
      </rPr>
      <t>G83</t>
    </r>
    <r>
      <rPr>
        <sz val="11"/>
        <color theme="1"/>
        <rFont val="宋体"/>
        <family val="3"/>
        <charset val="134"/>
      </rPr>
      <t>地块，毛坯限价</t>
    </r>
    <r>
      <rPr>
        <sz val="11"/>
        <color theme="1"/>
        <rFont val="Arial"/>
        <family val="2"/>
      </rPr>
      <t>2.75</t>
    </r>
    <r>
      <rPr>
        <sz val="11"/>
        <color theme="1"/>
        <rFont val="宋体"/>
        <family val="3"/>
        <charset val="134"/>
      </rPr>
      <t>万，本项目为限价房、全装修，旁边的正荣润岚府带装修均价</t>
    </r>
    <r>
      <rPr>
        <sz val="11"/>
        <color theme="1"/>
        <rFont val="Arial"/>
        <family val="2"/>
      </rPr>
      <t>2.95</t>
    </r>
    <r>
      <rPr>
        <sz val="11"/>
        <color theme="1"/>
        <rFont val="宋体"/>
        <family val="3"/>
        <charset val="134"/>
      </rPr>
      <t>万</t>
    </r>
    <phoneticPr fontId="5" type="noConversion"/>
  </si>
  <si>
    <t>睢宁县</t>
    <phoneticPr fontId="5" type="noConversion"/>
  </si>
  <si>
    <t>武进区</t>
    <phoneticPr fontId="5" type="noConversion"/>
  </si>
  <si>
    <t>https://cz.newhouse.fang.com/loupan/1820158452/dongtai/</t>
    <phoneticPr fontId="5" type="noConversion"/>
  </si>
  <si>
    <r>
      <rPr>
        <sz val="11"/>
        <color theme="1"/>
        <rFont val="宋体"/>
        <family val="3"/>
        <charset val="134"/>
      </rPr>
      <t>中南菩悦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文澜国宾，首开</t>
    </r>
    <r>
      <rPr>
        <sz val="11"/>
        <color theme="1"/>
        <rFont val="Arial"/>
        <family val="2"/>
      </rPr>
      <t>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13</t>
    </r>
    <r>
      <rPr>
        <sz val="11"/>
        <color theme="1"/>
        <rFont val="宋体"/>
        <family val="3"/>
        <charset val="134"/>
      </rPr>
      <t>日，均价</t>
    </r>
    <r>
      <rPr>
        <sz val="11"/>
        <color theme="1"/>
        <rFont val="Arial"/>
        <family val="2"/>
      </rPr>
      <t>1.73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</si>
  <si>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t>JZX20201602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</si>
  <si>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rPr>
        <sz val="11"/>
        <color theme="1"/>
        <rFont val="宋体"/>
        <family val="3"/>
        <charset val="134"/>
      </rPr>
      <t>旁边天宁融悦府毛坯均价</t>
    </r>
    <r>
      <rPr>
        <sz val="11"/>
        <color theme="1"/>
        <rFont val="Arial"/>
        <family val="2"/>
      </rPr>
      <t>1.35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</si>
  <si>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t>JWJ20200602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</si>
  <si>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https://cz.newhouse.fang.com/loupan/1820158458/dongtai/</t>
    <phoneticPr fontId="5" type="noConversion"/>
  </si>
  <si>
    <r>
      <rPr>
        <sz val="11"/>
        <color theme="1"/>
        <rFont val="宋体"/>
        <family val="3"/>
        <charset val="134"/>
      </rPr>
      <t>大唐</t>
    </r>
    <r>
      <rPr>
        <sz val="11"/>
        <color theme="1"/>
        <rFont val="Arial"/>
        <family val="2"/>
      </rPr>
      <t>.</t>
    </r>
    <r>
      <rPr>
        <sz val="11"/>
        <color theme="1"/>
        <rFont val="宋体"/>
        <family val="3"/>
        <charset val="134"/>
      </rPr>
      <t>中南上悦城，</t>
    </r>
    <r>
      <rPr>
        <sz val="11"/>
        <color theme="1"/>
        <rFont val="Arial"/>
        <family val="2"/>
      </rPr>
      <t>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27</t>
    </r>
    <r>
      <rPr>
        <sz val="11"/>
        <color theme="1"/>
        <rFont val="宋体"/>
        <family val="3"/>
        <charset val="134"/>
      </rPr>
      <t>日首开，均价</t>
    </r>
    <r>
      <rPr>
        <sz val="11"/>
        <color theme="1"/>
        <rFont val="Arial"/>
        <family val="2"/>
      </rPr>
      <t>1.33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</si>
  <si>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rPr>
        <sz val="11"/>
        <color indexed="8"/>
        <rFont val="宋体"/>
        <family val="1"/>
        <charset val="204"/>
      </rPr>
      <t>孟河镇</t>
    </r>
    <r>
      <rPr>
        <sz val="11"/>
        <color indexed="8"/>
        <rFont val="Arial"/>
        <family val="2"/>
      </rPr>
      <t>JZX20201901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</si>
  <si>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theme="1"/>
        <rFont val="宋体"/>
        <family val="3"/>
        <charset val="134"/>
      </rPr>
      <t>紧邻孟河实验小学，旁边孟河首府二手均价</t>
    </r>
    <r>
      <rPr>
        <sz val="11"/>
        <color theme="1"/>
        <rFont val="Arial"/>
        <family val="2"/>
      </rPr>
      <t>1.19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</si>
  <si>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http://xuzhou.jiwu.com/news/list-loupan1289952.html</t>
    <phoneticPr fontId="5" type="noConversion"/>
  </si>
  <si>
    <t>中南春风南岸，紧邻地铁站，价格可关注旁边的世茂·璀璨江山</t>
    <phoneticPr fontId="5" type="noConversion"/>
  </si>
  <si>
    <t>https://xz.newhouse.fang.com/house/1811200318/dongtai_1,2.htm</t>
    <phoneticPr fontId="5" type="noConversion"/>
  </si>
  <si>
    <r>
      <rPr>
        <sz val="11"/>
        <color theme="1"/>
        <rFont val="宋体"/>
        <family val="3"/>
        <charset val="134"/>
      </rPr>
      <t>中南恒通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和平府，均价1.33万？</t>
    </r>
    <phoneticPr fontId="5" type="noConversion"/>
  </si>
  <si>
    <t>徐州</t>
    <phoneticPr fontId="5" type="noConversion"/>
  </si>
  <si>
    <r>
      <rPr>
        <sz val="11"/>
        <color theme="1"/>
        <rFont val="宋体"/>
        <family val="3"/>
        <charset val="134"/>
      </rPr>
      <t>主打学区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景区，两边毛坯均价</t>
    </r>
    <r>
      <rPr>
        <sz val="11"/>
        <color theme="1"/>
        <rFont val="Arial"/>
        <family val="2"/>
      </rPr>
      <t>1.3</t>
    </r>
    <r>
      <rPr>
        <sz val="11"/>
        <color theme="1"/>
        <rFont val="宋体"/>
        <family val="3"/>
        <charset val="134"/>
      </rPr>
      <t>万，精装修大概</t>
    </r>
    <r>
      <rPr>
        <sz val="11"/>
        <color theme="1"/>
        <rFont val="Arial"/>
        <family val="2"/>
      </rPr>
      <t>1.6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</si>
  <si>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http://www.snfcmm.com/newhouse/202004/626679/view.html</t>
    <phoneticPr fontId="5" type="noConversion"/>
  </si>
  <si>
    <r>
      <t>2020-WG-15-1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</si>
  <si>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https://taizhou.newhouse.fang.com/house/1828115000.htm</t>
    <phoneticPr fontId="5" type="noConversion"/>
  </si>
  <si>
    <t>春风南岸，敏捷地产竟得，20年12月20日首次开盘，均价1.66万</t>
    <phoneticPr fontId="5" type="noConversion"/>
  </si>
  <si>
    <r>
      <rPr>
        <sz val="11"/>
        <color indexed="8"/>
        <rFont val="宋体"/>
        <family val="2"/>
      </rPr>
      <t>苏地</t>
    </r>
    <r>
      <rPr>
        <sz val="11"/>
        <color indexed="8"/>
        <rFont val="Arial"/>
        <family val="2"/>
      </rPr>
      <t xml:space="preserve"> 2020-WG-65 </t>
    </r>
    <r>
      <rPr>
        <sz val="11"/>
        <color indexed="8"/>
        <rFont val="宋体"/>
        <family val="2"/>
      </rPr>
      <t>号地块</t>
    </r>
    <phoneticPr fontId="5" type="noConversion"/>
  </si>
  <si>
    <r>
      <rPr>
        <sz val="11"/>
        <color theme="1"/>
        <rFont val="宋体"/>
        <family val="3"/>
        <charset val="134"/>
      </rPr>
      <t>周边美的云筑均价</t>
    </r>
    <r>
      <rPr>
        <sz val="11"/>
        <color theme="1"/>
        <rFont val="Arial"/>
        <family val="2"/>
      </rPr>
      <t>2.55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</si>
  <si>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t xml:space="preserve">2019-WG-15-3 </t>
    </r>
    <r>
      <rPr>
        <sz val="11"/>
        <color indexed="8"/>
        <rFont val="宋体"/>
        <family val="2"/>
      </rPr>
      <t>地块</t>
    </r>
    <phoneticPr fontId="5" type="noConversion"/>
  </si>
  <si>
    <t>https://www.fang.com/xinfang/tc-1828115014/</t>
    <phoneticPr fontId="5" type="noConversion"/>
  </si>
  <si>
    <t>中南春江云锦，周边均价1万+</t>
    <phoneticPr fontId="5" type="noConversion"/>
  </si>
  <si>
    <r>
      <t xml:space="preserve">2020-WG-37-3 </t>
    </r>
    <r>
      <rPr>
        <sz val="11"/>
        <color indexed="8"/>
        <rFont val="宋体"/>
        <family val="2"/>
      </rPr>
      <t>地块</t>
    </r>
    <phoneticPr fontId="5" type="noConversion"/>
  </si>
  <si>
    <r>
      <rPr>
        <sz val="11"/>
        <color theme="1"/>
        <rFont val="宋体"/>
        <family val="3"/>
        <charset val="134"/>
      </rPr>
      <t>中南春江云锦，周边均价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Arial"/>
        <family val="2"/>
      </rPr>
      <t>+</t>
    </r>
    <phoneticPr fontId="5" type="noConversion"/>
  </si>
  <si>
    <r>
      <rPr>
        <sz val="11"/>
        <color theme="1"/>
        <rFont val="宋体"/>
        <family val="3"/>
        <charset val="134"/>
      </rPr>
      <t>中南恒通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和平府</t>
    </r>
    <phoneticPr fontId="5" type="noConversion"/>
  </si>
  <si>
    <r>
      <rPr>
        <sz val="11"/>
        <color indexed="8"/>
        <rFont val="宋体"/>
        <family val="1"/>
        <charset val="204"/>
      </rPr>
      <t>市民中心南</t>
    </r>
    <r>
      <rPr>
        <sz val="11"/>
        <color indexed="8"/>
        <rFont val="Arial"/>
        <family val="2"/>
      </rPr>
      <t>117</t>
    </r>
    <r>
      <rPr>
        <sz val="11"/>
        <color indexed="8"/>
        <rFont val="宋体"/>
        <family val="1"/>
        <charset val="204"/>
      </rPr>
      <t>亩地块</t>
    </r>
    <phoneticPr fontId="5" type="noConversion"/>
  </si>
  <si>
    <t>https://sq.newhouse.fang.com/loupan/1814200714/housedetail.htm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</si>
  <si>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紫云集，2020年12月30日开盘，毛坯均价1.22万</t>
    </r>
    <phoneticPr fontId="5" type="noConversion"/>
  </si>
  <si>
    <r>
      <t>HGTP20025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</si>
  <si>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rPr>
        <sz val="11"/>
        <color theme="1"/>
        <rFont val="宋体"/>
        <family val="3"/>
        <charset val="134"/>
      </rPr>
      <t>旁边碧桂园均价</t>
    </r>
    <r>
      <rPr>
        <sz val="11"/>
        <color theme="1"/>
        <rFont val="Arial"/>
        <family val="2"/>
      </rPr>
      <t>7200</t>
    </r>
    <phoneticPr fontId="5" type="noConversion"/>
  </si>
  <si>
    <r>
      <rPr>
        <sz val="11"/>
        <color indexed="8"/>
        <rFont val="宋体"/>
        <family val="1"/>
        <charset val="204"/>
      </rPr>
      <t>城南</t>
    </r>
    <r>
      <rPr>
        <sz val="11"/>
        <color indexed="8"/>
        <rFont val="Arial"/>
        <family val="2"/>
      </rPr>
      <t>2020-11-1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</si>
  <si>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t>https://tz.fang.anjuke.com/loupan/canshu-486895.html?from=loupan_tab</t>
    <phoneticPr fontId="5" type="noConversion"/>
  </si>
  <si>
    <r>
      <t xml:space="preserve">2020-17-1 </t>
    </r>
    <r>
      <rPr>
        <sz val="11"/>
        <color indexed="8"/>
        <rFont val="宋体"/>
        <family val="2"/>
      </rPr>
      <t>地块</t>
    </r>
    <phoneticPr fontId="5" type="noConversion"/>
  </si>
  <si>
    <r>
      <rPr>
        <sz val="11"/>
        <color theme="1"/>
        <rFont val="宋体"/>
        <family val="3"/>
        <charset val="134"/>
      </rPr>
      <t>紧邻周山河初级中学、小学，周边二手房</t>
    </r>
    <r>
      <rPr>
        <sz val="11"/>
        <color theme="1"/>
        <rFont val="Arial"/>
        <family val="2"/>
      </rPr>
      <t>1.6</t>
    </r>
    <r>
      <rPr>
        <sz val="11"/>
        <color theme="1"/>
        <rFont val="宋体"/>
        <family val="3"/>
        <charset val="134"/>
      </rPr>
      <t>万</t>
    </r>
    <phoneticPr fontId="5" type="noConversion"/>
  </si>
  <si>
    <t>紧邻周山河初级中学、小学，周边二手房1.6万</t>
    <phoneticPr fontId="5" type="noConversion"/>
  </si>
  <si>
    <r>
      <rPr>
        <sz val="11"/>
        <color indexed="8"/>
        <rFont val="宋体"/>
        <family val="1"/>
        <charset val="204"/>
      </rPr>
      <t>盐城市直</t>
    </r>
    <r>
      <rPr>
        <sz val="11"/>
        <color indexed="8"/>
        <rFont val="Arial"/>
        <family val="2"/>
      </rPr>
      <t>20201601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</si>
  <si>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t>中南港龙·君启，港龙竟得，预计房价2万+</t>
    <phoneticPr fontId="5" type="noConversion"/>
  </si>
  <si>
    <r>
      <t xml:space="preserve">GZ221 </t>
    </r>
    <r>
      <rPr>
        <sz val="11"/>
        <color indexed="8"/>
        <rFont val="宋体"/>
        <family val="2"/>
      </rPr>
      <t>地块</t>
    </r>
    <phoneticPr fontId="5" type="noConversion"/>
  </si>
  <si>
    <r>
      <rPr>
        <sz val="11"/>
        <color theme="1"/>
        <rFont val="宋体"/>
        <family val="3"/>
        <charset val="134"/>
      </rPr>
      <t>旁边碧桂园陵江府最低价</t>
    </r>
    <r>
      <rPr>
        <sz val="11"/>
        <color theme="1"/>
        <rFont val="Arial"/>
        <family val="2"/>
      </rPr>
      <t>1.6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</si>
  <si>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t>2020-C-9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</si>
  <si>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兰樾雅院，大唐竟得，20年12月27日首开，毛坯均价1.08万</t>
    <phoneticPr fontId="5" type="noConversion"/>
  </si>
  <si>
    <t>https://jy.newhouse.fang.com/loupan/1829123684/dongtai/</t>
    <phoneticPr fontId="5" type="noConversion"/>
  </si>
  <si>
    <r>
      <rPr>
        <sz val="11"/>
        <color theme="1"/>
        <rFont val="宋体"/>
        <family val="3"/>
        <charset val="134"/>
      </rPr>
      <t>周边美的云筑均价</t>
    </r>
    <r>
      <rPr>
        <sz val="11"/>
        <color theme="1"/>
        <rFont val="Arial"/>
        <family val="2"/>
      </rPr>
      <t>2.55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</si>
  <si>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https://leshan.newhouse.fang.com/house/1816127490.htm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</si>
  <si>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樾府，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月开盘，小高层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万，洋房</t>
    </r>
    <r>
      <rPr>
        <sz val="11"/>
        <color theme="1"/>
        <rFont val="Arial"/>
        <family val="2"/>
      </rPr>
      <t>1.7</t>
    </r>
    <r>
      <rPr>
        <sz val="11"/>
        <color theme="1"/>
        <rFont val="宋体"/>
        <family val="3"/>
        <charset val="134"/>
      </rPr>
      <t>万</t>
    </r>
    <phoneticPr fontId="5" type="noConversion"/>
  </si>
  <si>
    <t>已转让给中海</t>
    <phoneticPr fontId="5" type="noConversion"/>
  </si>
  <si>
    <r>
      <t>C20006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</si>
  <si>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中南謇里小镇，商服用途</t>
    <phoneticPr fontId="5" type="noConversion"/>
  </si>
  <si>
    <t>https://nt.newhouse.fang.com/loupan/1818148768.htm</t>
    <phoneticPr fontId="5" type="noConversion"/>
  </si>
  <si>
    <t>https://www.fang.com/xinfang/qd-2411123549/</t>
    <phoneticPr fontId="5" type="noConversion"/>
  </si>
  <si>
    <t>中南印象，离中南集团很近，20年8月1日首开，均价9799</t>
    <phoneticPr fontId="5" type="noConversion"/>
  </si>
  <si>
    <t>https://haimen.newhouse.fang.com/loupan/1840176602.htm</t>
    <phoneticPr fontId="5" type="noConversion"/>
  </si>
  <si>
    <t>中南大唐阅湖，20年8月31日开盘，精装均价1.2万</t>
    <phoneticPr fontId="5" type="noConversion"/>
  </si>
  <si>
    <t>https://nt.newhouse.fang.com/loupan/1818148792/housedetail.htm</t>
    <phoneticPr fontId="5" type="noConversion"/>
  </si>
  <si>
    <r>
      <rPr>
        <sz val="11"/>
        <color indexed="8"/>
        <rFont val="宋体"/>
        <family val="1"/>
        <charset val="204"/>
      </rPr>
      <t>洋溪</t>
    </r>
    <r>
      <rPr>
        <sz val="11"/>
        <color indexed="8"/>
        <rFont val="Arial"/>
        <family val="2"/>
      </rPr>
      <t>S-5-1</t>
    </r>
    <r>
      <rPr>
        <sz val="11"/>
        <color indexed="8"/>
        <rFont val="宋体"/>
        <family val="1"/>
        <charset val="204"/>
      </rPr>
      <t>地块</t>
    </r>
    <r>
      <rPr>
        <sz val="11"/>
        <color indexed="8"/>
        <rFont val="Arial"/>
        <family val="2"/>
      </rPr>
      <t>(27</t>
    </r>
    <r>
      <rPr>
        <sz val="11"/>
        <color indexed="8"/>
        <rFont val="宋体"/>
        <family val="1"/>
        <charset val="204"/>
      </rPr>
      <t>号</t>
    </r>
    <r>
      <rPr>
        <sz val="11"/>
        <color indexed="8"/>
        <rFont val="Arial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</si>
  <si>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德信中南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江上云起，毛坯，周边均价</t>
    </r>
    <r>
      <rPr>
        <sz val="11"/>
        <color theme="1"/>
        <rFont val="Arial"/>
        <family val="2"/>
      </rPr>
      <t>1.2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Arial"/>
        <family val="2"/>
      </rPr>
      <t>+</t>
    </r>
    <phoneticPr fontId="5" type="noConversion"/>
  </si>
  <si>
    <r>
      <rPr>
        <sz val="11"/>
        <color theme="1"/>
        <rFont val="宋体"/>
        <family val="3"/>
        <charset val="134"/>
      </rPr>
      <t>中南天樾，旁边二手房卖</t>
    </r>
    <r>
      <rPr>
        <sz val="11"/>
        <color theme="1"/>
        <rFont val="Arial"/>
        <family val="2"/>
      </rPr>
      <t>2.3</t>
    </r>
    <r>
      <rPr>
        <sz val="11"/>
        <color theme="1"/>
        <rFont val="宋体"/>
        <family val="3"/>
        <charset val="134"/>
      </rPr>
      <t>万</t>
    </r>
    <phoneticPr fontId="5" type="noConversion"/>
  </si>
  <si>
    <t>中南威高林清月，20年11月21日开盘，毛坯起价6900</t>
    <phoneticPr fontId="5" type="noConversion"/>
  </si>
  <si>
    <r>
      <t>4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</si>
  <si>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rPr>
        <sz val="11"/>
        <color indexed="8"/>
        <rFont val="宋体"/>
        <family val="1"/>
        <charset val="204"/>
      </rPr>
      <t>川姜镇</t>
    </r>
    <r>
      <rPr>
        <sz val="11"/>
        <color indexed="8"/>
        <rFont val="Arial"/>
        <family val="2"/>
      </rPr>
      <t>R2020-016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</si>
  <si>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t>https://weihai.newhouse.fang.com/loupan/2417163257/housedetail.htm</t>
    <phoneticPr fontId="5" type="noConversion"/>
  </si>
  <si>
    <t>https://nt.newhouse.fang.com/loupan/1818148896.htm</t>
    <phoneticPr fontId="5" type="noConversion"/>
  </si>
  <si>
    <t>中南世纪云辰，中南、大唐、神辉、军山联手打造，旁边的世纪之光，20年10月25日开盘，高层毛坯1.275万，洋房毛坯1.475万</t>
    <phoneticPr fontId="5" type="noConversion"/>
  </si>
  <si>
    <t>世纪之光，20年10月25日开盘，高层毛坯1.275万，洋房毛坯1.475万</t>
    <phoneticPr fontId="5" type="noConversion"/>
  </si>
  <si>
    <t>https://weihai.newhouse.fang.com/loupan/2417163115/housedetail.htm</t>
    <phoneticPr fontId="5" type="noConversion"/>
  </si>
  <si>
    <t>该地块为中南漫悦湾住宅二期地块，装修均价8500。</t>
    <phoneticPr fontId="5" type="noConversion"/>
  </si>
  <si>
    <t>https://nt.newhouse.fang.com/loupan/1818148832/housedetail.htm</t>
    <phoneticPr fontId="5" type="noConversion"/>
  </si>
  <si>
    <t>东时区，旁边的绿地·江海图毛坯均价1.47万</t>
    <phoneticPr fontId="5" type="noConversion"/>
  </si>
  <si>
    <r>
      <t>CR20014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</si>
  <si>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龙信骏园，江苏龙信竟得，2020年11月22日开盘，高层均价2.08万，洋房2.3万，精装交付</t>
    <phoneticPr fontId="5" type="noConversion"/>
  </si>
  <si>
    <t>新城竟得，新城琅樾2期，1期售价9800元，地理位置有些偏，未来主打康旅别墅？</t>
    <phoneticPr fontId="5" type="noConversion"/>
  </si>
  <si>
    <r>
      <t xml:space="preserve">2020040002 </t>
    </r>
    <r>
      <rPr>
        <sz val="11"/>
        <color indexed="8"/>
        <rFont val="宋体"/>
        <family val="2"/>
      </rPr>
      <t>地块</t>
    </r>
    <phoneticPr fontId="5" type="noConversion"/>
  </si>
  <si>
    <r>
      <t xml:space="preserve">R20038 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</si>
  <si>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周边配套齐全，等开盘看看销售价</t>
    <phoneticPr fontId="5" type="noConversion"/>
  </si>
  <si>
    <t>紧邻南通市锡通园区小学，等开盘看看销售价</t>
    <phoneticPr fontId="5" type="noConversion"/>
  </si>
  <si>
    <t>CR20028 地块</t>
    <phoneticPr fontId="5" type="noConversion"/>
  </si>
  <si>
    <t>与龙信及大唐合作开发，周边均价2万+</t>
    <phoneticPr fontId="5" type="noConversion"/>
  </si>
  <si>
    <t>淮自然(阴)挂 2020 第 10 号地块</t>
    <phoneticPr fontId="5" type="noConversion"/>
  </si>
  <si>
    <t>淮自然(阴)挂 2020 第 3 号地块</t>
    <phoneticPr fontId="5" type="noConversion"/>
  </si>
  <si>
    <t>旁边区政府、淮阴师范学院，二手均价1万+？</t>
    <phoneticPr fontId="5" type="noConversion"/>
  </si>
  <si>
    <t>旁边淮阴实验小学、第一人民医院，二手均价1万+？</t>
    <phoneticPr fontId="5" type="noConversion"/>
  </si>
  <si>
    <r>
      <rPr>
        <sz val="11"/>
        <color rgb="FFFF0000"/>
        <rFont val="宋体"/>
        <family val="3"/>
        <charset val="134"/>
      </rPr>
      <t>中南</t>
    </r>
    <r>
      <rPr>
        <sz val="11"/>
        <color rgb="FFFF0000"/>
        <rFont val="Arial"/>
        <family val="2"/>
      </rPr>
      <t>+</t>
    </r>
    <r>
      <rPr>
        <sz val="11"/>
        <color rgb="FFFF0000"/>
        <rFont val="宋体"/>
        <family val="3"/>
        <charset val="134"/>
      </rPr>
      <t>平安不动产联合体拿地，相邻万科售价</t>
    </r>
    <r>
      <rPr>
        <sz val="11"/>
        <color rgb="FFFF0000"/>
        <rFont val="Arial"/>
        <family val="2"/>
      </rPr>
      <t>1.4</t>
    </r>
    <r>
      <rPr>
        <sz val="11"/>
        <color rgb="FFFF0000"/>
        <rFont val="宋体"/>
        <family val="3"/>
        <charset val="134"/>
      </rPr>
      <t>万</t>
    </r>
    <phoneticPr fontId="5" type="noConversion"/>
  </si>
  <si>
    <t>旁边是第二实验小学、晋江二中，毛坯限价9800</t>
    <phoneticPr fontId="5" type="noConversion"/>
  </si>
  <si>
    <r>
      <rPr>
        <sz val="11"/>
        <color theme="1"/>
        <rFont val="宋体"/>
        <family val="3"/>
        <charset val="134"/>
      </rPr>
      <t>周边均价</t>
    </r>
    <r>
      <rPr>
        <sz val="11"/>
        <color theme="1"/>
        <rFont val="Arial"/>
        <family val="2"/>
      </rPr>
      <t>1.4</t>
    </r>
    <r>
      <rPr>
        <sz val="11"/>
        <color theme="1"/>
        <rFont val="宋体"/>
        <family val="3"/>
        <charset val="134"/>
      </rPr>
      <t>万+</t>
    </r>
    <phoneticPr fontId="5" type="noConversion"/>
  </si>
  <si>
    <t>https://changde.newhouse.fang.com/loupan/2716170918/housedetail.htm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</si>
  <si>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海棠集，周边学校密集，二手均价6200，会涨价</t>
    </r>
    <phoneticPr fontId="5" type="noConversion"/>
  </si>
  <si>
    <r>
      <rPr>
        <sz val="11"/>
        <color theme="1"/>
        <rFont val="宋体"/>
        <family val="3"/>
        <charset val="134"/>
      </rPr>
      <t>旁边的阳光城大唐世家毛坯均价</t>
    </r>
    <r>
      <rPr>
        <sz val="11"/>
        <color theme="1"/>
        <rFont val="Arial"/>
        <family val="2"/>
      </rPr>
      <t>1.1</t>
    </r>
    <r>
      <rPr>
        <sz val="11"/>
        <color theme="1"/>
        <rFont val="宋体"/>
        <family val="3"/>
        <charset val="134"/>
      </rPr>
      <t>万</t>
    </r>
    <phoneticPr fontId="5" type="noConversion"/>
  </si>
  <si>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Arial"/>
        <family val="2"/>
      </rPr>
      <t>KCGD2015-9-A1</t>
    </r>
    <r>
      <rPr>
        <sz val="11"/>
        <color theme="1"/>
        <rFont val="宋体"/>
        <family val="3"/>
        <charset val="134"/>
      </rPr>
      <t>号地块的零星整合用地</t>
    </r>
    <phoneticPr fontId="5" type="noConversion"/>
  </si>
  <si>
    <t>LC2019-73 号地块</t>
    <phoneticPr fontId="5" type="noConversion"/>
  </si>
  <si>
    <t>澜沧县</t>
    <phoneticPr fontId="5" type="noConversion"/>
  </si>
  <si>
    <t>LC2015-32 地块</t>
    <phoneticPr fontId="5" type="noConversion"/>
  </si>
  <si>
    <t>普洱</t>
    <phoneticPr fontId="5" type="noConversion"/>
  </si>
  <si>
    <t>余姚市</t>
    <phoneticPr fontId="5" type="noConversion"/>
  </si>
  <si>
    <t>楼板价：</t>
    <phoneticPr fontId="5" type="noConversion"/>
  </si>
  <si>
    <t>自持：</t>
    <phoneticPr fontId="5" type="noConversion"/>
  </si>
  <si>
    <t>均价：</t>
    <phoneticPr fontId="5" type="noConversion"/>
  </si>
  <si>
    <t>装修：</t>
    <phoneticPr fontId="5" type="noConversion"/>
  </si>
  <si>
    <t>建面：</t>
    <phoneticPr fontId="5" type="noConversion"/>
  </si>
  <si>
    <t>1.收入：</t>
    <phoneticPr fontId="5" type="noConversion"/>
  </si>
  <si>
    <t>2.收入：</t>
    <phoneticPr fontId="5" type="noConversion"/>
  </si>
  <si>
    <t>3.付出地价：</t>
    <phoneticPr fontId="5" type="noConversion"/>
  </si>
  <si>
    <t>4.付出建造3500，装修1000：</t>
    <phoneticPr fontId="5" type="noConversion"/>
  </si>
  <si>
    <t>5.付出利息：</t>
    <phoneticPr fontId="5" type="noConversion"/>
  </si>
  <si>
    <t>融资成本：</t>
    <phoneticPr fontId="5" type="noConversion"/>
  </si>
  <si>
    <t>得到：</t>
    <phoneticPr fontId="5" type="noConversion"/>
  </si>
  <si>
    <t>毛利润：</t>
    <phoneticPr fontId="5" type="noConversion"/>
  </si>
  <si>
    <t>毛利率：</t>
    <phoneticPr fontId="5" type="noConversion"/>
  </si>
  <si>
    <r>
      <rPr>
        <sz val="11"/>
        <color rgb="FFFF0000"/>
        <rFont val="宋体"/>
        <family val="2"/>
      </rPr>
      <t>莆田</t>
    </r>
  </si>
  <si>
    <r>
      <t>PS</t>
    </r>
    <r>
      <rPr>
        <sz val="11"/>
        <color rgb="FFFF0000"/>
        <rFont val="宋体"/>
        <family val="3"/>
        <charset val="134"/>
      </rPr>
      <t>拍</t>
    </r>
    <r>
      <rPr>
        <sz val="11"/>
        <color rgb="FFFF0000"/>
        <rFont val="Arial"/>
        <family val="2"/>
      </rPr>
      <t>-2020-21</t>
    </r>
    <r>
      <rPr>
        <sz val="11"/>
        <color rgb="FFFF0000"/>
        <rFont val="宋体"/>
        <family val="3"/>
        <charset val="134"/>
      </rPr>
      <t>号地块</t>
    </r>
    <phoneticPr fontId="5" type="noConversion"/>
  </si>
  <si>
    <r>
      <rPr>
        <sz val="11"/>
        <color rgb="FFFF0000"/>
        <rFont val="宋体"/>
        <family val="2"/>
      </rPr>
      <t>徐州</t>
    </r>
  </si>
  <si>
    <r>
      <rPr>
        <sz val="11"/>
        <color rgb="FFFF0000"/>
        <rFont val="宋体"/>
        <family val="2"/>
      </rPr>
      <t>佛山</t>
    </r>
  </si>
  <si>
    <r>
      <rPr>
        <sz val="11"/>
        <color rgb="FFFF0000"/>
        <rFont val="宋体"/>
        <family val="2"/>
      </rPr>
      <t>顺德区</t>
    </r>
  </si>
  <si>
    <r>
      <t>TD2020(SD)WG0015</t>
    </r>
    <r>
      <rPr>
        <sz val="11"/>
        <color rgb="FFFF0000"/>
        <rFont val="宋体"/>
        <family val="3"/>
        <charset val="134"/>
      </rPr>
      <t>地块</t>
    </r>
    <phoneticPr fontId="5" type="noConversion"/>
  </si>
  <si>
    <r>
      <rPr>
        <sz val="11"/>
        <color rgb="FFFF0000"/>
        <rFont val="宋体"/>
        <family val="2"/>
      </rPr>
      <t>泰州</t>
    </r>
  </si>
  <si>
    <r>
      <rPr>
        <sz val="11"/>
        <color rgb="FFFF0000"/>
        <rFont val="宋体"/>
        <family val="2"/>
      </rPr>
      <t>海陵区</t>
    </r>
  </si>
  <si>
    <r>
      <t xml:space="preserve">2020-17-1 </t>
    </r>
    <r>
      <rPr>
        <sz val="11"/>
        <color rgb="FFFF0000"/>
        <rFont val="宋体"/>
        <family val="2"/>
      </rPr>
      <t>地块</t>
    </r>
    <phoneticPr fontId="5" type="noConversion"/>
  </si>
  <si>
    <r>
      <rPr>
        <sz val="11"/>
        <color rgb="FFFF0000"/>
        <rFont val="宋体"/>
        <family val="3"/>
        <charset val="134"/>
      </rPr>
      <t>紧邻周山河初级中学、小学，周边二手房</t>
    </r>
    <r>
      <rPr>
        <sz val="11"/>
        <color rgb="FFFF0000"/>
        <rFont val="Arial"/>
        <family val="2"/>
      </rPr>
      <t>1.6</t>
    </r>
    <r>
      <rPr>
        <sz val="11"/>
        <color rgb="FFFF0000"/>
        <rFont val="宋体"/>
        <family val="3"/>
        <charset val="134"/>
      </rPr>
      <t>万</t>
    </r>
    <phoneticPr fontId="5" type="noConversion"/>
  </si>
  <si>
    <t>毛利润</t>
    <phoneticPr fontId="5" type="noConversion"/>
  </si>
  <si>
    <t>销售收入</t>
    <phoneticPr fontId="5" type="noConversion"/>
  </si>
  <si>
    <t>毛利率</t>
    <phoneticPr fontId="5" type="noConversion"/>
  </si>
  <si>
    <t>1.带自持</t>
    <phoneticPr fontId="5" type="noConversion"/>
  </si>
  <si>
    <t>2.不带自持</t>
    <phoneticPr fontId="5" type="noConversion"/>
  </si>
  <si>
    <t>销售收入</t>
    <phoneticPr fontId="5" type="noConversion"/>
  </si>
  <si>
    <t>毛利润</t>
    <phoneticPr fontId="5" type="noConversion"/>
  </si>
  <si>
    <t>毛利率</t>
    <phoneticPr fontId="5" type="noConversion"/>
  </si>
  <si>
    <t>https://quanzhou.focus.cn/loupan/110119118/dongtai/6083300.html</t>
    <phoneticPr fontId="5" type="noConversion"/>
  </si>
  <si>
    <r>
      <t>SL</t>
    </r>
    <r>
      <rPr>
        <sz val="11"/>
        <color theme="1"/>
        <rFont val="等线"/>
        <family val="2"/>
      </rPr>
      <t>（</t>
    </r>
    <r>
      <rPr>
        <sz val="11"/>
        <color theme="1"/>
        <rFont val="Arial"/>
        <family val="2"/>
      </rPr>
      <t>18</t>
    </r>
    <r>
      <rPr>
        <sz val="11"/>
        <color theme="1"/>
        <rFont val="等线"/>
        <family val="2"/>
      </rPr>
      <t>）</t>
    </r>
    <r>
      <rPr>
        <sz val="11"/>
        <color theme="1"/>
        <rFont val="Arial"/>
        <family val="2"/>
      </rPr>
      <t>020</t>
    </r>
    <r>
      <rPr>
        <sz val="11"/>
        <color theme="1"/>
        <rFont val="等线"/>
        <family val="2"/>
      </rPr>
      <t>地块</t>
    </r>
    <phoneticPr fontId="5" type="noConversion"/>
  </si>
  <si>
    <t>https://gy.newhouse.fang.com/house/3314141434/dongtai_1,1.htm</t>
    <phoneticPr fontId="5" type="noConversion"/>
  </si>
  <si>
    <r>
      <rPr>
        <sz val="11"/>
        <color theme="1"/>
        <rFont val="等线"/>
        <family val="2"/>
      </rPr>
      <t>牛田单元</t>
    </r>
    <r>
      <rPr>
        <sz val="11"/>
        <color theme="1"/>
        <rFont val="Arial"/>
        <family val="2"/>
      </rPr>
      <t>R21-07</t>
    </r>
    <r>
      <rPr>
        <sz val="11"/>
        <color theme="1"/>
        <rFont val="等线"/>
        <family val="2"/>
      </rPr>
      <t>地块</t>
    </r>
    <phoneticPr fontId="5" type="noConversion"/>
  </si>
  <si>
    <t>https://hz.focus.cn/loupan/110125520/xiangqing.html</t>
    <phoneticPr fontId="5" type="noConversion"/>
  </si>
  <si>
    <t>凤城五路以南地块</t>
    <phoneticPr fontId="5" type="noConversion"/>
  </si>
  <si>
    <t>https://xian.newhouse.fang.com/loupan/3610191416/housedetail.htm</t>
    <phoneticPr fontId="5" type="noConversion"/>
  </si>
  <si>
    <t>枫叶厂地块</t>
    <phoneticPr fontId="5" type="noConversion"/>
  </si>
  <si>
    <r>
      <t>X2019P01</t>
    </r>
    <r>
      <rPr>
        <sz val="11"/>
        <color theme="1"/>
        <rFont val="等线"/>
        <family val="2"/>
      </rPr>
      <t>地块</t>
    </r>
    <phoneticPr fontId="5" type="noConversion"/>
  </si>
  <si>
    <t>https://jn.newhouse.fang.com/house/2410176263/dongtai_1,1.htm</t>
    <phoneticPr fontId="5" type="noConversion"/>
  </si>
  <si>
    <t>https://xm.newhouse.fang.com/loupan/2212125940.htm</t>
    <phoneticPr fontId="5" type="noConversion"/>
  </si>
  <si>
    <t>中南九锦台，2019-11-30开盘，均价30666-31999</t>
    <phoneticPr fontId="5" type="noConversion"/>
  </si>
  <si>
    <r>
      <t>CR19002</t>
    </r>
    <r>
      <rPr>
        <sz val="11"/>
        <color theme="1"/>
        <rFont val="等线"/>
        <family val="2"/>
      </rPr>
      <t>地块</t>
    </r>
    <phoneticPr fontId="5" type="noConversion"/>
  </si>
  <si>
    <t>https://nt.focus.cn/loupan/110126365/dongtai/7831082.html</t>
    <phoneticPr fontId="5" type="noConversion"/>
  </si>
  <si>
    <r>
      <t>2019-2-4</t>
    </r>
    <r>
      <rPr>
        <sz val="11"/>
        <color theme="1"/>
        <rFont val="等线"/>
        <family val="2"/>
      </rPr>
      <t>岗子下地块</t>
    </r>
    <phoneticPr fontId="5" type="noConversion"/>
  </si>
  <si>
    <r>
      <rPr>
        <sz val="11"/>
        <color theme="1"/>
        <rFont val="等线"/>
        <family val="2"/>
      </rPr>
      <t>苏地</t>
    </r>
    <r>
      <rPr>
        <sz val="11"/>
        <color theme="1"/>
        <rFont val="Arial"/>
        <family val="2"/>
      </rPr>
      <t>2019-WG-10</t>
    </r>
    <r>
      <rPr>
        <sz val="11"/>
        <color theme="1"/>
        <rFont val="等线"/>
        <family val="2"/>
      </rPr>
      <t>号地块</t>
    </r>
    <phoneticPr fontId="5" type="noConversion"/>
  </si>
  <si>
    <r>
      <t>2019-029</t>
    </r>
    <r>
      <rPr>
        <sz val="11"/>
        <color theme="1"/>
        <rFont val="等线"/>
        <family val="2"/>
      </rPr>
      <t>地块</t>
    </r>
    <phoneticPr fontId="5" type="noConversion"/>
  </si>
  <si>
    <t>中南春风南岸，2019-11-16开盘，均价25500</t>
    <phoneticPr fontId="5" type="noConversion"/>
  </si>
  <si>
    <t>龙津实验学校南侧地块</t>
    <phoneticPr fontId="5" type="noConversion"/>
  </si>
  <si>
    <t>https://nb.newhouse.fang.com/loupan/2011123956/housedetail.htm</t>
    <phoneticPr fontId="5" type="noConversion"/>
  </si>
  <si>
    <t>https://suzhou.newhouse.fang.com/loupan/1822201172/housedetail.htm</t>
    <phoneticPr fontId="5" type="noConversion"/>
  </si>
  <si>
    <t>https://zhenjiang.newhouse.fang.com/loupan/1819143996/dongtai/</t>
    <phoneticPr fontId="5" type="noConversion"/>
  </si>
  <si>
    <t>No</t>
    <phoneticPr fontId="5" type="noConversion"/>
  </si>
  <si>
    <t>https://hz.newhouse.fang.com/house/2010186776/dongtai_1,2.htm</t>
    <phoneticPr fontId="5" type="noConversion"/>
  </si>
  <si>
    <r>
      <rPr>
        <sz val="11"/>
        <color rgb="FFFF0000"/>
        <rFont val="等线"/>
        <family val="2"/>
      </rPr>
      <t>揭阳</t>
    </r>
  </si>
  <si>
    <r>
      <rPr>
        <sz val="11"/>
        <color rgb="FFFF0000"/>
        <rFont val="等线"/>
        <family val="2"/>
      </rPr>
      <t>揭东区</t>
    </r>
  </si>
  <si>
    <r>
      <t>JDR2019002</t>
    </r>
    <r>
      <rPr>
        <sz val="11"/>
        <color rgb="FFFF0000"/>
        <rFont val="等线"/>
        <family val="2"/>
      </rPr>
      <t>（揭阳糖厂地块）</t>
    </r>
    <phoneticPr fontId="5" type="noConversion"/>
  </si>
  <si>
    <t>https://jieyang.newhouse.fang.com/loupan/2830160934.htm</t>
    <phoneticPr fontId="5" type="noConversion"/>
  </si>
  <si>
    <r>
      <t>R2019-005</t>
    </r>
    <r>
      <rPr>
        <sz val="11"/>
        <color theme="1"/>
        <rFont val="等线"/>
        <family val="2"/>
      </rPr>
      <t>地块</t>
    </r>
    <phoneticPr fontId="5" type="noConversion"/>
  </si>
  <si>
    <t>揭阳中南春风南岸，2019年11月28日开盘，售价6500</t>
    <phoneticPr fontId="5" type="noConversion"/>
  </si>
  <si>
    <r>
      <t>CR19009</t>
    </r>
    <r>
      <rPr>
        <sz val="11"/>
        <color theme="1"/>
        <rFont val="等线"/>
        <family val="2"/>
      </rPr>
      <t>地块</t>
    </r>
    <phoneticPr fontId="5" type="noConversion"/>
  </si>
  <si>
    <t>https://nt.newhouse.fang.com/house/1818148568/dongtai_1,1.htm</t>
    <phoneticPr fontId="5" type="noConversion"/>
  </si>
  <si>
    <t>https://nt.newhouse.fang.com/loupan/1818148570/housedetail.htm</t>
    <phoneticPr fontId="5" type="noConversion"/>
  </si>
  <si>
    <r>
      <rPr>
        <sz val="11"/>
        <color theme="1"/>
        <rFont val="等线"/>
        <family val="2"/>
      </rPr>
      <t>第</t>
    </r>
    <r>
      <rPr>
        <sz val="11"/>
        <color theme="1"/>
        <rFont val="Arial"/>
        <family val="2"/>
      </rPr>
      <t>55</t>
    </r>
    <r>
      <rPr>
        <sz val="11"/>
        <color theme="1"/>
        <rFont val="等线"/>
        <family val="2"/>
      </rPr>
      <t>期</t>
    </r>
    <r>
      <rPr>
        <sz val="11"/>
        <color theme="1"/>
        <rFont val="Arial"/>
        <family val="2"/>
      </rPr>
      <t>89</t>
    </r>
    <r>
      <rPr>
        <sz val="11"/>
        <color theme="1"/>
        <rFont val="等线"/>
        <family val="2"/>
      </rPr>
      <t>亩项目</t>
    </r>
    <phoneticPr fontId="5" type="noConversion"/>
  </si>
  <si>
    <t>https://nn.newhouse.fang.com/house/2910195758/dongtai_1,1.htm</t>
    <phoneticPr fontId="5" type="noConversion"/>
  </si>
  <si>
    <t>中南春风南岸，2019年12月26日开盘，毛坯均价9800</t>
    <phoneticPr fontId="5" type="noConversion"/>
  </si>
  <si>
    <r>
      <t>2019-3-2</t>
    </r>
    <r>
      <rPr>
        <sz val="11"/>
        <color theme="1"/>
        <rFont val="等线"/>
        <family val="2"/>
      </rPr>
      <t>苏美达地块</t>
    </r>
    <phoneticPr fontId="5" type="noConversion"/>
  </si>
  <si>
    <r>
      <t>HD2019-3079</t>
    </r>
    <r>
      <rPr>
        <sz val="11"/>
        <color theme="1"/>
        <rFont val="等线"/>
        <family val="2"/>
      </rPr>
      <t>地块</t>
    </r>
    <phoneticPr fontId="5" type="noConversion"/>
  </si>
  <si>
    <t>https://qd.newhouse.fang.com/loupan/2411123099.htm</t>
    <phoneticPr fontId="5" type="noConversion"/>
  </si>
  <si>
    <r>
      <rPr>
        <sz val="11"/>
        <color theme="1"/>
        <rFont val="等线"/>
        <family val="2"/>
      </rPr>
      <t>城南</t>
    </r>
    <r>
      <rPr>
        <sz val="11"/>
        <color theme="1"/>
        <rFont val="Arial"/>
        <family val="2"/>
      </rPr>
      <t>19034</t>
    </r>
    <r>
      <rPr>
        <sz val="11"/>
        <color theme="1"/>
        <rFont val="等线"/>
        <family val="2"/>
      </rPr>
      <t>号地块</t>
    </r>
    <phoneticPr fontId="5" type="noConversion"/>
  </si>
  <si>
    <t>https://haining.newhouse.fang.com/loupan/2024133600/housedetail.htm</t>
    <phoneticPr fontId="5" type="noConversion"/>
  </si>
  <si>
    <t>鸿翔中南鸿樾府，2019年11月开盘？均价19000</t>
    <phoneticPr fontId="5" type="noConversion"/>
  </si>
  <si>
    <t>中南·十二集，2019年12月28日开盘，均价16000</t>
    <phoneticPr fontId="5" type="noConversion"/>
  </si>
  <si>
    <t>https://km.newhouse.fang.com/loupan/3410168432/housedetail.htm</t>
    <phoneticPr fontId="5" type="noConversion"/>
  </si>
  <si>
    <t>https://cq.newhouse.fang.com/loupan/3110123340/housedetail.htm</t>
    <phoneticPr fontId="5" type="noConversion"/>
  </si>
  <si>
    <t>玖著天宸，2020年6月首推，毛坯均价15000</t>
    <phoneticPr fontId="5" type="noConversion"/>
  </si>
  <si>
    <r>
      <t>2019-21</t>
    </r>
    <r>
      <rPr>
        <sz val="11"/>
        <color theme="1"/>
        <rFont val="等线"/>
        <family val="2"/>
      </rPr>
      <t>地块</t>
    </r>
    <phoneticPr fontId="5" type="noConversion"/>
  </si>
  <si>
    <t>https://taian.newhouse.fang.com/loupan/2419165895/housedetail.htm</t>
    <phoneticPr fontId="5" type="noConversion"/>
  </si>
  <si>
    <t>http://xf.house.163.com/huzhou/CJRN.html</t>
    <phoneticPr fontId="5" type="noConversion"/>
  </si>
  <si>
    <t>驭远中南玖熙湾，2020-06-05首开，毛坯均价15000</t>
    <phoneticPr fontId="5" type="noConversion"/>
  </si>
  <si>
    <t>https://xian.newhouse.fang.com/loupan/3610191882/housedetail.htm</t>
    <phoneticPr fontId="5" type="noConversion"/>
  </si>
  <si>
    <t>中南·無山居，2020年9月20日首开，均价14000</t>
    <phoneticPr fontId="5" type="noConversion"/>
  </si>
  <si>
    <r>
      <rPr>
        <sz val="11"/>
        <color theme="1"/>
        <rFont val="等线"/>
        <family val="2"/>
      </rPr>
      <t>马佐里</t>
    </r>
    <r>
      <rPr>
        <sz val="11"/>
        <color theme="1"/>
        <rFont val="Arial"/>
        <family val="2"/>
      </rPr>
      <t>20190202</t>
    </r>
    <r>
      <rPr>
        <sz val="11"/>
        <color theme="1"/>
        <rFont val="等线"/>
        <family val="2"/>
      </rPr>
      <t>地块</t>
    </r>
    <phoneticPr fontId="5" type="noConversion"/>
  </si>
  <si>
    <t>中南紫云集，2019-09-28首开，毛坯8000</t>
    <phoneticPr fontId="5" type="noConversion"/>
  </si>
  <si>
    <t>http://yancheng.jiwu.com/detail/1279167.html</t>
    <phoneticPr fontId="5" type="noConversion"/>
  </si>
  <si>
    <t>高新区河滨东路南侧</t>
    <phoneticPr fontId="5" type="noConversion"/>
  </si>
  <si>
    <t>http://ganglongzhongnanhanlinshoufu.fang.0513.org/info.html</t>
    <phoneticPr fontId="5" type="noConversion"/>
  </si>
  <si>
    <r>
      <rPr>
        <sz val="11"/>
        <color theme="1"/>
        <rFont val="等线"/>
        <family val="2"/>
      </rPr>
      <t>淮海西路</t>
    </r>
    <r>
      <rPr>
        <sz val="11"/>
        <color theme="1"/>
        <rFont val="Arial"/>
        <family val="2"/>
      </rPr>
      <t>200</t>
    </r>
    <r>
      <rPr>
        <sz val="11"/>
        <color theme="1"/>
        <rFont val="等线"/>
        <family val="2"/>
      </rPr>
      <t>号地块</t>
    </r>
    <phoneticPr fontId="5" type="noConversion"/>
  </si>
  <si>
    <t>熙悦项目</t>
    <phoneticPr fontId="5" type="noConversion"/>
  </si>
  <si>
    <t>https://sy.newhouse.fang.com/loupan/1617155813/housedetail.htm</t>
    <phoneticPr fontId="5" type="noConversion"/>
  </si>
  <si>
    <t>沈抚中南·熙悦，2019年9月开盘，毛坯均价6200</t>
    <phoneticPr fontId="5" type="noConversion"/>
  </si>
  <si>
    <t>https://huaian.newhouse.fang.com/loupan/1826201510.htm</t>
    <phoneticPr fontId="5" type="noConversion"/>
  </si>
  <si>
    <t>https://nt.newhouse.fang.com/loupan/1818148600/housedetail.htm</t>
    <phoneticPr fontId="5" type="noConversion"/>
  </si>
  <si>
    <r>
      <rPr>
        <sz val="11"/>
        <color rgb="FF7030A0"/>
        <rFont val="等线"/>
        <family val="2"/>
      </rPr>
      <t>南通</t>
    </r>
  </si>
  <si>
    <r>
      <rPr>
        <sz val="11"/>
        <color rgb="FF7030A0"/>
        <rFont val="等线"/>
        <family val="2"/>
      </rPr>
      <t>海门市</t>
    </r>
  </si>
  <si>
    <r>
      <t>CR19012</t>
    </r>
    <r>
      <rPr>
        <sz val="11"/>
        <color rgb="FF7030A0"/>
        <rFont val="等线"/>
        <family val="2"/>
      </rPr>
      <t>地块</t>
    </r>
    <phoneticPr fontId="5" type="noConversion"/>
  </si>
  <si>
    <t>https://weihai.newhouse.fang.com/loupan/2417163115/dongtai/</t>
    <phoneticPr fontId="5" type="noConversion"/>
  </si>
  <si>
    <t>中南漫悦湾，2019年12月23日开盘，带装均价8500</t>
    <phoneticPr fontId="5" type="noConversion"/>
  </si>
  <si>
    <r>
      <t>R2019012</t>
    </r>
    <r>
      <rPr>
        <sz val="11"/>
        <color theme="1"/>
        <rFont val="等线"/>
        <family val="2"/>
      </rPr>
      <t>地块</t>
    </r>
    <phoneticPr fontId="5" type="noConversion"/>
  </si>
  <si>
    <t>https://nt.newhouse.fang.com/loupan/1818148616/housedetail.htm</t>
    <phoneticPr fontId="5" type="noConversion"/>
  </si>
  <si>
    <r>
      <t>TOD</t>
    </r>
    <r>
      <rPr>
        <sz val="11"/>
        <color theme="1"/>
        <rFont val="等线"/>
        <family val="2"/>
      </rPr>
      <t>地块</t>
    </r>
    <phoneticPr fontId="5" type="noConversion"/>
  </si>
  <si>
    <t>新津县</t>
    <phoneticPr fontId="5" type="noConversion"/>
  </si>
  <si>
    <t>https://baijiahao.baidu.com/s?id=1675896351286359484&amp;wfr=spider&amp;for=pc</t>
  </si>
  <si>
    <t>城投中南智在云辰，限期整改，均价12500~14000</t>
    <phoneticPr fontId="5" type="noConversion"/>
  </si>
  <si>
    <r>
      <t>084</t>
    </r>
    <r>
      <rPr>
        <sz val="11"/>
        <color theme="1"/>
        <rFont val="等线"/>
        <family val="2"/>
      </rPr>
      <t>号地块</t>
    </r>
    <phoneticPr fontId="5" type="noConversion"/>
  </si>
  <si>
    <t>https://tz.newhouse.fang.com/loupan/2019202724/housedetail.htm</t>
  </si>
  <si>
    <t>金茂中南海州上城，2020年9月30日首开，均价16500</t>
    <phoneticPr fontId="5" type="noConversion"/>
  </si>
  <si>
    <t>https://nanchong.newhouse.fang.com/loupan/3220186492/housedetail.htm</t>
    <phoneticPr fontId="5" type="noConversion"/>
  </si>
  <si>
    <t>中南原山，2020-03-20开盘，均价6000</t>
    <phoneticPr fontId="5" type="noConversion"/>
  </si>
  <si>
    <r>
      <t>Q</t>
    </r>
    <r>
      <rPr>
        <sz val="11"/>
        <color theme="1"/>
        <rFont val="等线"/>
        <family val="2"/>
      </rPr>
      <t>（</t>
    </r>
    <r>
      <rPr>
        <sz val="11"/>
        <color theme="1"/>
        <rFont val="Arial"/>
        <family val="2"/>
      </rPr>
      <t>2019</t>
    </r>
    <r>
      <rPr>
        <sz val="11"/>
        <color theme="1"/>
        <rFont val="等线"/>
        <family val="2"/>
      </rPr>
      <t>）</t>
    </r>
    <r>
      <rPr>
        <sz val="11"/>
        <color theme="1"/>
        <rFont val="Arial"/>
        <family val="2"/>
      </rPr>
      <t>26</t>
    </r>
    <r>
      <rPr>
        <sz val="11"/>
        <color theme="1"/>
        <rFont val="等线"/>
        <family val="2"/>
      </rPr>
      <t>号地块</t>
    </r>
    <phoneticPr fontId="5" type="noConversion"/>
  </si>
  <si>
    <t>http://www.qjfang.com/4536/xiangqing.html</t>
    <phoneticPr fontId="5" type="noConversion"/>
  </si>
  <si>
    <t>中南·春溪集，2019-12-31开盘，毛坯6260</t>
    <phoneticPr fontId="5" type="noConversion"/>
  </si>
  <si>
    <t>能源中心项目</t>
    <phoneticPr fontId="5" type="noConversion"/>
  </si>
  <si>
    <t>西咸新区</t>
    <phoneticPr fontId="5" type="noConversion"/>
  </si>
  <si>
    <t>铁云路西侧地块</t>
    <phoneticPr fontId="5" type="noConversion"/>
  </si>
  <si>
    <t>https://xian.newhouse.fang.com/loupan/3610191574/housedetail.htm</t>
    <phoneticPr fontId="5" type="noConversion"/>
  </si>
  <si>
    <t>中南菩悦东望中心，2020年4月开盘，均价8800</t>
    <phoneticPr fontId="5" type="noConversion"/>
  </si>
  <si>
    <t>https://huaian.focus.cn/loupan/110125199/dongtai/4/</t>
    <phoneticPr fontId="5" type="noConversion"/>
  </si>
  <si>
    <r>
      <t>2018-45</t>
    </r>
    <r>
      <rPr>
        <sz val="11"/>
        <color theme="1"/>
        <rFont val="等线"/>
        <family val="2"/>
      </rPr>
      <t>号地块</t>
    </r>
    <phoneticPr fontId="5" type="noConversion"/>
  </si>
  <si>
    <t>https://bengbu.newhouse.fang.com/loupan/2115200906/housedetail.htm</t>
    <phoneticPr fontId="5" type="noConversion"/>
  </si>
  <si>
    <t>中南观淮府，2019年12月29日首开，毛坯均价6500</t>
    <phoneticPr fontId="5" type="noConversion"/>
  </si>
  <si>
    <t>https://jy.newhouse.fang.com/loupan/1829123636/housedetail.htm</t>
    <phoneticPr fontId="5" type="noConversion"/>
  </si>
  <si>
    <t>中南·水云间，2020-08-19开盘，均价12500</t>
    <phoneticPr fontId="5" type="noConversion"/>
  </si>
  <si>
    <r>
      <rPr>
        <sz val="11"/>
        <color theme="1"/>
        <rFont val="等线"/>
        <family val="2"/>
      </rPr>
      <t>常（高新）网挂</t>
    </r>
    <r>
      <rPr>
        <sz val="11"/>
        <color theme="1"/>
        <rFont val="Arial"/>
        <family val="2"/>
      </rPr>
      <t>035</t>
    </r>
    <r>
      <rPr>
        <sz val="11"/>
        <color theme="1"/>
        <rFont val="等线"/>
        <family val="2"/>
      </rPr>
      <t>地块</t>
    </r>
    <phoneticPr fontId="5" type="noConversion"/>
  </si>
  <si>
    <t>https://changde.newhouse.fang.com/loupan/2716170820/housedetail.htm</t>
    <phoneticPr fontId="5" type="noConversion"/>
  </si>
  <si>
    <t>常德中南珑悦，2020年4月11日开盘，毛坯均价5300-5500</t>
    <phoneticPr fontId="5" type="noConversion"/>
  </si>
  <si>
    <t>https://zhenjiang.newhouse.fang.com/loupan/1819144016/housedetail.htm</t>
    <phoneticPr fontId="5" type="noConversion"/>
  </si>
  <si>
    <r>
      <rPr>
        <sz val="11"/>
        <color rgb="FF7030A0"/>
        <rFont val="等线"/>
        <family val="2"/>
      </rPr>
      <t>海安市</t>
    </r>
  </si>
  <si>
    <r>
      <t>2019037001</t>
    </r>
    <r>
      <rPr>
        <sz val="11"/>
        <color rgb="FF7030A0"/>
        <rFont val="等线"/>
        <family val="2"/>
      </rPr>
      <t>地块</t>
    </r>
    <phoneticPr fontId="5" type="noConversion"/>
  </si>
  <si>
    <t>环城东路东侧（旧货市场）地块</t>
    <phoneticPr fontId="5" type="noConversion"/>
  </si>
  <si>
    <t>https://sx.newhouse.fang.com/loupan/2015182022/housedetail.htm</t>
    <phoneticPr fontId="5" type="noConversion"/>
  </si>
  <si>
    <t>天樾府，2019-11-19开盘，毛坯？均价12400</t>
    <phoneticPr fontId="5" type="noConversion"/>
  </si>
  <si>
    <r>
      <t>2019</t>
    </r>
    <r>
      <rPr>
        <sz val="11"/>
        <color theme="1"/>
        <rFont val="等线"/>
        <family val="2"/>
      </rPr>
      <t>嘉秀洲</t>
    </r>
    <r>
      <rPr>
        <sz val="11"/>
        <color theme="1"/>
        <rFont val="Arial"/>
        <family val="2"/>
      </rPr>
      <t>-022</t>
    </r>
    <r>
      <rPr>
        <sz val="11"/>
        <color theme="1"/>
        <rFont val="等线"/>
        <family val="2"/>
      </rPr>
      <t>号地块</t>
    </r>
    <phoneticPr fontId="5" type="noConversion"/>
  </si>
  <si>
    <t>https://jx.newhouse.fang.com/loupan/2014165172/housedetail.htm</t>
    <phoneticPr fontId="5" type="noConversion"/>
  </si>
  <si>
    <t>卓越悦琅园，2020-07-09开盘，2021-01-11已售罄，均价15200</t>
    <phoneticPr fontId="5" type="noConversion"/>
  </si>
  <si>
    <t>纬二路北侧地块</t>
    <phoneticPr fontId="5" type="noConversion"/>
  </si>
  <si>
    <t>https://yancheng.newhouse.fang.com/loupan/1815201256/housedetail.htm</t>
    <phoneticPr fontId="5" type="noConversion"/>
  </si>
  <si>
    <t>中南春溪集，2020年06月30日开盘，均价7800</t>
    <phoneticPr fontId="5" type="noConversion"/>
  </si>
  <si>
    <r>
      <rPr>
        <sz val="11"/>
        <color rgb="FF00B0F0"/>
        <rFont val="等线"/>
        <family val="2"/>
      </rPr>
      <t>淮安</t>
    </r>
  </si>
  <si>
    <r>
      <rPr>
        <sz val="11"/>
        <color rgb="FF00B0F0"/>
        <rFont val="等线"/>
        <family val="2"/>
      </rPr>
      <t>淮阴区</t>
    </r>
  </si>
  <si>
    <r>
      <rPr>
        <sz val="11"/>
        <color rgb="FF00B0F0"/>
        <rFont val="等线"/>
        <family val="2"/>
      </rPr>
      <t>人武部西地块（</t>
    </r>
    <r>
      <rPr>
        <sz val="11"/>
        <color rgb="FF00B0F0"/>
        <rFont val="Arial"/>
        <family val="2"/>
      </rPr>
      <t>2019-3</t>
    </r>
    <r>
      <rPr>
        <sz val="11"/>
        <color rgb="FF00B0F0"/>
        <rFont val="等线"/>
        <family val="2"/>
      </rPr>
      <t>）</t>
    </r>
    <phoneticPr fontId="5" type="noConversion"/>
  </si>
  <si>
    <r>
      <rPr>
        <sz val="11"/>
        <color rgb="FF00B0F0"/>
        <rFont val="等线"/>
        <family val="2"/>
      </rPr>
      <t>人武部地块（</t>
    </r>
    <r>
      <rPr>
        <sz val="11"/>
        <color rgb="FF00B0F0"/>
        <rFont val="Arial"/>
        <family val="2"/>
      </rPr>
      <t>2019-2</t>
    </r>
    <r>
      <rPr>
        <sz val="11"/>
        <color rgb="FF00B0F0"/>
        <rFont val="等线"/>
        <family val="2"/>
      </rPr>
      <t>）</t>
    </r>
  </si>
  <si>
    <t>淮观淮府，2020年4月25日开盘，毛坯均价10000</t>
    <phoneticPr fontId="5" type="noConversion"/>
  </si>
  <si>
    <t>https://huaian.newhouse.fang.com/loupan/1826201630/housedetail.htm</t>
    <phoneticPr fontId="5" type="noConversion"/>
  </si>
  <si>
    <t>斗门村居住地块</t>
    <phoneticPr fontId="5" type="noConversion"/>
  </si>
  <si>
    <t>https://nb.newhouse.fang.com/house/2011123956/dongtai_1,1.htm</t>
    <phoneticPr fontId="5" type="noConversion"/>
  </si>
  <si>
    <r>
      <t>2012-A09</t>
    </r>
    <r>
      <rPr>
        <sz val="11"/>
        <color theme="1"/>
        <rFont val="等线"/>
        <family val="2"/>
      </rPr>
      <t>地块</t>
    </r>
    <phoneticPr fontId="5" type="noConversion"/>
  </si>
  <si>
    <t>湛大蓝科项目地块</t>
    <phoneticPr fontId="5" type="noConversion"/>
  </si>
  <si>
    <t>https://zj.newhouse.fang.com/loupan/2824200586/housedetail.htm</t>
    <phoneticPr fontId="5" type="noConversion"/>
  </si>
  <si>
    <t>中南·紫云集，2020年7月16日开盘，均价9500</t>
    <phoneticPr fontId="5" type="noConversion"/>
  </si>
  <si>
    <t>https://jh.newhouse.fang.com/loupan/2016200680/housedetail.htm</t>
    <phoneticPr fontId="5" type="noConversion"/>
  </si>
  <si>
    <t>中南·漫悦湾，2020-6-6开盘，毛坯均价10500</t>
    <phoneticPr fontId="5" type="noConversion"/>
  </si>
  <si>
    <t>巴南区</t>
    <phoneticPr fontId="5" type="noConversion"/>
  </si>
  <si>
    <t>https://cq.focus.cn/loupan/110126912/xiangqing.html</t>
    <phoneticPr fontId="5" type="noConversion"/>
  </si>
  <si>
    <r>
      <rPr>
        <sz val="11"/>
        <color theme="1"/>
        <rFont val="等线"/>
        <family val="2"/>
      </rPr>
      <t>凤凰山</t>
    </r>
    <r>
      <rPr>
        <sz val="11"/>
        <color theme="1"/>
        <rFont val="Arial"/>
        <family val="2"/>
      </rPr>
      <t>4</t>
    </r>
    <r>
      <rPr>
        <sz val="11"/>
        <color theme="1"/>
        <rFont val="等线"/>
        <family val="2"/>
      </rPr>
      <t>号地块</t>
    </r>
    <phoneticPr fontId="5" type="noConversion"/>
  </si>
  <si>
    <t>https://xz.newhouse.fang.com/loupan/1811200318/housedetail.htm</t>
    <phoneticPr fontId="5" type="noConversion"/>
  </si>
  <si>
    <t>中南恒通·和平府，2020年5月24日开盘，均价13300</t>
    <phoneticPr fontId="5" type="noConversion"/>
  </si>
  <si>
    <r>
      <t>C19013</t>
    </r>
    <r>
      <rPr>
        <sz val="11"/>
        <color theme="1"/>
        <rFont val="等线"/>
        <family val="2"/>
      </rPr>
      <t>地块</t>
    </r>
    <phoneticPr fontId="5" type="noConversion"/>
  </si>
  <si>
    <t>旁边是海门足球训练基地</t>
    <phoneticPr fontId="5" type="noConversion"/>
  </si>
  <si>
    <t>官塘桥路以西，罗家头路地块</t>
    <phoneticPr fontId="5" type="noConversion"/>
  </si>
  <si>
    <t>https://zhenjiang.newhouse.fang.com/loupan/1819144288/housedetail.htm</t>
    <phoneticPr fontId="5" type="noConversion"/>
  </si>
  <si>
    <t>中南·林清月雅苑，2020年5月10日开盘，均价16000</t>
    <phoneticPr fontId="5" type="noConversion"/>
  </si>
  <si>
    <r>
      <t>1906-01</t>
    </r>
    <r>
      <rPr>
        <sz val="11"/>
        <color theme="1"/>
        <rFont val="等线"/>
        <family val="2"/>
      </rPr>
      <t>地块</t>
    </r>
    <phoneticPr fontId="5" type="noConversion"/>
  </si>
  <si>
    <t>https://nt.newhouse.fang.com/loupan/1818148456/housedetail.htm</t>
    <phoneticPr fontId="5" type="noConversion"/>
  </si>
  <si>
    <t>WG2019-25</t>
    <phoneticPr fontId="5" type="noConversion"/>
  </si>
  <si>
    <t>https://st.newhouse.fang.com/loupan/2813135700/housedetail.htm</t>
    <phoneticPr fontId="5" type="noConversion"/>
  </si>
  <si>
    <t>澄海三盛璞悦府，未开盘，周边均价12500</t>
    <phoneticPr fontId="5" type="noConversion"/>
  </si>
  <si>
    <r>
      <t>2018-029</t>
    </r>
    <r>
      <rPr>
        <sz val="11"/>
        <color theme="1"/>
        <rFont val="等线"/>
        <family val="2"/>
      </rPr>
      <t>地块</t>
    </r>
    <phoneticPr fontId="5" type="noConversion"/>
  </si>
  <si>
    <t>https://deqing.newhouse.fang.com/loupan/2022113224/housedetail.htm</t>
    <phoneticPr fontId="5" type="noConversion"/>
  </si>
  <si>
    <t>孔雀城·京杭上宸，2019年12月开盘，毛坯均价11000</t>
    <phoneticPr fontId="5" type="noConversion"/>
  </si>
  <si>
    <t>https://wz.newhouse.fang.com/loupan/2012202892/dongtai/</t>
    <phoneticPr fontId="5" type="noConversion"/>
  </si>
  <si>
    <t>中南·玖峰花苑，2020-11-24开盘，毛坯均价9575</t>
    <phoneticPr fontId="5" type="noConversion"/>
  </si>
  <si>
    <r>
      <t>2019</t>
    </r>
    <r>
      <rPr>
        <sz val="11"/>
        <color theme="1"/>
        <rFont val="等线"/>
        <family val="2"/>
      </rPr>
      <t>（增量）</t>
    </r>
    <r>
      <rPr>
        <sz val="11"/>
        <color theme="1"/>
        <rFont val="Arial"/>
        <family val="2"/>
      </rPr>
      <t>—</t>
    </r>
    <r>
      <rPr>
        <sz val="11"/>
        <color theme="1"/>
        <rFont val="等线"/>
        <family val="2"/>
      </rPr>
      <t>张</t>
    </r>
    <r>
      <rPr>
        <sz val="11"/>
        <color theme="1"/>
        <rFont val="Arial"/>
        <family val="2"/>
      </rPr>
      <t>003</t>
    </r>
    <r>
      <rPr>
        <sz val="11"/>
        <color theme="1"/>
        <rFont val="等线"/>
        <family val="2"/>
      </rPr>
      <t>号地块</t>
    </r>
    <phoneticPr fontId="5" type="noConversion"/>
  </si>
  <si>
    <t>中南·春溪集，2019年12月25日开盘，毛坯8700</t>
    <phoneticPr fontId="5" type="noConversion"/>
  </si>
  <si>
    <t>https://zb.newhouse.fang.com/loupan/2412175939/housedetail.htm</t>
    <phoneticPr fontId="5" type="noConversion"/>
  </si>
  <si>
    <r>
      <t>P2019-32</t>
    </r>
    <r>
      <rPr>
        <sz val="11"/>
        <color theme="1"/>
        <rFont val="等线"/>
        <family val="2"/>
      </rPr>
      <t>地块</t>
    </r>
    <phoneticPr fontId="5" type="noConversion"/>
  </si>
  <si>
    <t>https://quanzhou.focus.cn/loupan/110127663/xiangqing.html</t>
    <phoneticPr fontId="5" type="noConversion"/>
  </si>
  <si>
    <r>
      <t>1908-01</t>
    </r>
    <r>
      <rPr>
        <sz val="11"/>
        <color theme="1"/>
        <rFont val="等线"/>
        <family val="2"/>
      </rPr>
      <t>地块</t>
    </r>
    <phoneticPr fontId="5" type="noConversion"/>
  </si>
  <si>
    <t>https://nt.newhouse.fang.com/loupan/1818148648/housedetail.htm</t>
    <phoneticPr fontId="5" type="noConversion"/>
  </si>
  <si>
    <t>https://huizhou.focus.cn/loupan/110128059.html</t>
    <phoneticPr fontId="5" type="noConversion"/>
  </si>
  <si>
    <t>中南林间漫，2020年3月开盘，均价13910</t>
    <phoneticPr fontId="5" type="noConversion"/>
  </si>
  <si>
    <t>https://huizhou.focus.cn/loupan/110128059/xiangqing.html</t>
    <phoneticPr fontId="5" type="noConversion"/>
  </si>
  <si>
    <r>
      <rPr>
        <sz val="11"/>
        <color rgb="FFFF0000"/>
        <rFont val="等线"/>
        <family val="2"/>
      </rPr>
      <t>惠州</t>
    </r>
  </si>
  <si>
    <r>
      <rPr>
        <sz val="11"/>
        <color rgb="FFFF0000"/>
        <rFont val="等线"/>
        <family val="2"/>
      </rPr>
      <t>惠公易大亚湾</t>
    </r>
    <r>
      <rPr>
        <sz val="11"/>
        <color rgb="FFFF0000"/>
        <rFont val="Arial"/>
        <family val="2"/>
      </rPr>
      <t>[2018]028</t>
    </r>
    <r>
      <rPr>
        <sz val="11"/>
        <color rgb="FFFF0000"/>
        <rFont val="等线"/>
        <family val="2"/>
      </rPr>
      <t>号地块</t>
    </r>
    <phoneticPr fontId="5" type="noConversion"/>
  </si>
  <si>
    <r>
      <rPr>
        <sz val="11"/>
        <color rgb="FFFF0000"/>
        <rFont val="等线"/>
        <family val="2"/>
      </rPr>
      <t>惠公易大亚湾</t>
    </r>
    <r>
      <rPr>
        <sz val="11"/>
        <color rgb="FFFF0000"/>
        <rFont val="Arial"/>
        <family val="2"/>
      </rPr>
      <t>[2019]013</t>
    </r>
    <r>
      <rPr>
        <sz val="11"/>
        <color rgb="FFFF0000"/>
        <rFont val="等线"/>
        <family val="2"/>
      </rPr>
      <t>号（嘉霖三期地块</t>
    </r>
    <r>
      <rPr>
        <sz val="11"/>
        <color rgb="FFFF0000"/>
        <rFont val="Arial"/>
        <family val="2"/>
      </rPr>
      <t>2</t>
    </r>
    <r>
      <rPr>
        <sz val="11"/>
        <color rgb="FFFF0000"/>
        <rFont val="等线"/>
        <family val="2"/>
      </rPr>
      <t>）</t>
    </r>
    <phoneticPr fontId="5" type="noConversion"/>
  </si>
  <si>
    <t>翔安区</t>
    <phoneticPr fontId="5" type="noConversion"/>
  </si>
  <si>
    <t>https://xm.newhouse.fang.com/loupan/2212126284/housedetail.htm</t>
    <phoneticPr fontId="5" type="noConversion"/>
  </si>
  <si>
    <t>中南·青樾，2020年06月25日开盘，均价35000，2020年10月份已售完</t>
    <phoneticPr fontId="5" type="noConversion"/>
  </si>
  <si>
    <r>
      <t>P2019-33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</si>
  <si>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城南</t>
    </r>
    <r>
      <rPr>
        <sz val="11"/>
        <color theme="1"/>
        <rFont val="Arial"/>
        <family val="2"/>
      </rPr>
      <t>19158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</si>
  <si>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壶镇石龙</t>
    </r>
    <r>
      <rPr>
        <sz val="11"/>
        <color theme="1"/>
        <rFont val="Arial"/>
        <family val="2"/>
      </rPr>
      <t>1</t>
    </r>
    <r>
      <rPr>
        <sz val="11"/>
        <color theme="1"/>
        <rFont val="等线"/>
        <family val="2"/>
      </rPr>
      <t>号地块</t>
    </r>
    <phoneticPr fontId="5" type="noConversion"/>
  </si>
  <si>
    <t>https://ls.newhouse.fang.com/loupan/2020117434/housedetail.htm</t>
    <phoneticPr fontId="5" type="noConversion"/>
  </si>
  <si>
    <t>中南·春风江南院，毛坯、公共部分带装修，均价14000，开盘时间待定,具体看工程进度及政府部分申批完成</t>
  </si>
  <si>
    <r>
      <rPr>
        <sz val="11"/>
        <color theme="1"/>
        <rFont val="等线"/>
        <family val="2"/>
      </rPr>
      <t>龙口</t>
    </r>
    <r>
      <rPr>
        <sz val="11"/>
        <color theme="1"/>
        <rFont val="Arial"/>
        <family val="2"/>
      </rPr>
      <t>2019-003</t>
    </r>
    <r>
      <rPr>
        <sz val="11"/>
        <color theme="1"/>
        <rFont val="等线"/>
        <family val="2"/>
      </rPr>
      <t>地块</t>
    </r>
    <phoneticPr fontId="5" type="noConversion"/>
  </si>
  <si>
    <r>
      <t>CR19005</t>
    </r>
    <r>
      <rPr>
        <sz val="11"/>
        <color theme="1"/>
        <rFont val="等线"/>
        <family val="2"/>
      </rPr>
      <t>地块</t>
    </r>
    <phoneticPr fontId="5" type="noConversion"/>
  </si>
  <si>
    <t>https://haimen.newhouse.fang.com/loupan/1840176526/housedetail.htm</t>
    <phoneticPr fontId="5" type="noConversion"/>
  </si>
  <si>
    <r>
      <t>CR19022</t>
    </r>
    <r>
      <rPr>
        <sz val="11"/>
        <color theme="1"/>
        <rFont val="等线"/>
        <family val="2"/>
      </rPr>
      <t>地块</t>
    </r>
    <phoneticPr fontId="5" type="noConversion"/>
  </si>
  <si>
    <t>https://haimen.newhouse.fang.com/loupan/1840176570/housedetail.htm</t>
  </si>
  <si>
    <t>https://sx.loupan.com/info/7111616.html</t>
    <phoneticPr fontId="5" type="noConversion"/>
  </si>
  <si>
    <t>中南世茂江山里，2020年06月28日开盘，毛坯均价14500？2020年12月售罄</t>
    <phoneticPr fontId="5" type="noConversion"/>
  </si>
  <si>
    <t>合作街项目</t>
    <phoneticPr fontId="5" type="noConversion"/>
  </si>
  <si>
    <t>https://sy.newhouse.fang.com/loupan/1617156145/housedetail.htm</t>
    <phoneticPr fontId="5" type="noConversion"/>
  </si>
  <si>
    <t>中南·上悦城，2020年5月10日开盘，毛坯均价13000</t>
    <phoneticPr fontId="5" type="noConversion"/>
  </si>
  <si>
    <t>汇总：</t>
    <phoneticPr fontId="5" type="noConversion"/>
  </si>
  <si>
    <r>
      <rPr>
        <sz val="11"/>
        <color theme="1"/>
        <rFont val="宋体"/>
        <family val="3"/>
        <charset val="134"/>
      </rPr>
      <t>中南樾府，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日开盘，毛坯均价</t>
    </r>
    <r>
      <rPr>
        <sz val="11"/>
        <color theme="1"/>
        <rFont val="Arial"/>
        <family val="2"/>
      </rPr>
      <t>7000</t>
    </r>
    <phoneticPr fontId="5" type="noConversion"/>
  </si>
  <si>
    <t>中南樾府，2020年9月30日开盘，毛坯均价7000</t>
    <phoneticPr fontId="5" type="noConversion"/>
  </si>
  <si>
    <t>睢宁永安路南地块</t>
  </si>
  <si>
    <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29</t>
    </r>
    <r>
      <rPr>
        <sz val="11"/>
        <color theme="1"/>
        <rFont val="宋体"/>
        <family val="3"/>
        <charset val="134"/>
      </rPr>
      <t>日首期已开盘，总价</t>
    </r>
    <r>
      <rPr>
        <sz val="11"/>
        <color theme="1"/>
        <rFont val="Arial"/>
        <family val="2"/>
      </rPr>
      <t>120</t>
    </r>
    <r>
      <rPr>
        <sz val="11"/>
        <color theme="1"/>
        <rFont val="宋体"/>
        <family val="3"/>
        <charset val="134"/>
      </rPr>
      <t>万元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套起，毛坯</t>
    </r>
    <phoneticPr fontId="5" type="noConversion"/>
  </si>
  <si>
    <t>中南林樾，2022年8月22日开盘，毛坯1.5万？</t>
    <phoneticPr fontId="5" type="noConversion"/>
  </si>
  <si>
    <r>
      <rPr>
        <sz val="11"/>
        <color theme="1"/>
        <rFont val="宋体"/>
        <family val="3"/>
        <charset val="134"/>
      </rPr>
      <t>中南菩悦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文澜国宾，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13</t>
    </r>
    <r>
      <rPr>
        <sz val="11"/>
        <color theme="1"/>
        <rFont val="宋体"/>
        <family val="3"/>
        <charset val="134"/>
      </rPr>
      <t>日首开，均价</t>
    </r>
    <r>
      <rPr>
        <sz val="11"/>
        <color theme="1"/>
        <rFont val="Arial"/>
        <family val="2"/>
      </rPr>
      <t>1.73</t>
    </r>
    <r>
      <rPr>
        <sz val="11"/>
        <color theme="1"/>
        <rFont val="宋体"/>
        <family val="3"/>
        <charset val="134"/>
      </rPr>
      <t>万，毛坯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公共部分带装修</t>
    </r>
    <phoneticPr fontId="5" type="noConversion"/>
  </si>
  <si>
    <r>
      <rPr>
        <sz val="11"/>
        <color theme="1"/>
        <rFont val="宋体"/>
        <family val="3"/>
        <charset val="134"/>
      </rPr>
      <t>中南漫悦湾，</t>
    </r>
    <r>
      <rPr>
        <sz val="11"/>
        <color theme="1"/>
        <rFont val="Arial"/>
        <family val="2"/>
      </rPr>
      <t>2020-08-23</t>
    </r>
    <r>
      <rPr>
        <sz val="11"/>
        <color theme="1"/>
        <rFont val="宋体"/>
        <family val="3"/>
        <charset val="134"/>
      </rPr>
      <t>开盘，毛坯均价</t>
    </r>
    <r>
      <rPr>
        <sz val="11"/>
        <color theme="1"/>
        <rFont val="Arial"/>
        <family val="2"/>
      </rPr>
      <t>9300-9700</t>
    </r>
    <phoneticPr fontId="5" type="noConversion"/>
  </si>
  <si>
    <t>http://xz.fccs.com/newhouse/3505433/news.html</t>
  </si>
  <si>
    <t>中南春风南岸，2021年1月1日开盘，均价16000-18000</t>
    <phoneticPr fontId="5" type="noConversion"/>
  </si>
  <si>
    <t>中南君启，2020年11月27日首开，均价21180</t>
    <phoneticPr fontId="5" type="noConversion"/>
  </si>
  <si>
    <r>
      <rPr>
        <sz val="11"/>
        <color theme="1"/>
        <rFont val="宋体"/>
        <family val="3"/>
        <charset val="134"/>
      </rPr>
      <t>中南华宇君启，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月开盘，销售均价</t>
    </r>
    <r>
      <rPr>
        <sz val="11"/>
        <color theme="1"/>
        <rFont val="Arial"/>
        <family val="2"/>
      </rPr>
      <t>23000</t>
    </r>
    <phoneticPr fontId="5" type="noConversion"/>
  </si>
  <si>
    <t>中南春风里，周边学校较多，2020年11月28日开盘，均价9700</t>
    <phoneticPr fontId="5" type="noConversion"/>
  </si>
  <si>
    <r>
      <rPr>
        <sz val="11"/>
        <color rgb="FFFF0000"/>
        <rFont val="宋体"/>
        <family val="2"/>
      </rPr>
      <t>泉州</t>
    </r>
  </si>
  <si>
    <r>
      <rPr>
        <sz val="11"/>
        <color rgb="FFFF0000"/>
        <rFont val="宋体"/>
        <family val="2"/>
      </rPr>
      <t>晋江市</t>
    </r>
  </si>
  <si>
    <r>
      <t>P2019-36</t>
    </r>
    <r>
      <rPr>
        <sz val="11"/>
        <color rgb="FFFF0000"/>
        <rFont val="宋体"/>
        <family val="3"/>
        <charset val="134"/>
      </rPr>
      <t>号地块</t>
    </r>
    <phoneticPr fontId="5" type="noConversion"/>
  </si>
  <si>
    <r>
      <rPr>
        <sz val="11"/>
        <color theme="1"/>
        <rFont val="宋体"/>
        <family val="3"/>
        <charset val="134"/>
      </rPr>
      <t>中南世茂大唐·龙江玖锦，旁边有在建中小学新校区，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29</t>
    </r>
    <r>
      <rPr>
        <sz val="11"/>
        <color theme="1"/>
        <rFont val="宋体"/>
        <family val="3"/>
        <charset val="134"/>
      </rPr>
      <t>日开盘，均价</t>
    </r>
    <r>
      <rPr>
        <sz val="11"/>
        <color theme="1"/>
        <rFont val="Arial"/>
        <family val="2"/>
      </rPr>
      <t>13550-15500</t>
    </r>
    <phoneticPr fontId="5" type="noConversion"/>
  </si>
  <si>
    <t>https://m.leju.com/touch/house/fj/172218/options.html#ln=m_xf_info_xinxi</t>
    <phoneticPr fontId="5" type="noConversion"/>
  </si>
  <si>
    <t>https://hz.newhouse.fang.com/loupan/2010187340/housedetail.htm</t>
    <phoneticPr fontId="5" type="noConversion"/>
  </si>
  <si>
    <r>
      <rPr>
        <sz val="11"/>
        <color rgb="FFFF0000"/>
        <rFont val="宋体"/>
        <family val="2"/>
      </rPr>
      <t>杭州</t>
    </r>
  </si>
  <si>
    <r>
      <rPr>
        <sz val="11"/>
        <color rgb="FFFF0000"/>
        <rFont val="宋体"/>
        <family val="2"/>
      </rPr>
      <t>建德市</t>
    </r>
  </si>
  <si>
    <r>
      <rPr>
        <sz val="11"/>
        <color rgb="FFFF0000"/>
        <rFont val="宋体"/>
        <family val="1"/>
        <charset val="204"/>
      </rPr>
      <t>洋溪</t>
    </r>
    <r>
      <rPr>
        <sz val="11"/>
        <color rgb="FFFF0000"/>
        <rFont val="Arial"/>
        <family val="2"/>
      </rPr>
      <t>S-5-1</t>
    </r>
    <r>
      <rPr>
        <sz val="11"/>
        <color rgb="FFFF0000"/>
        <rFont val="宋体"/>
        <family val="1"/>
        <charset val="204"/>
      </rPr>
      <t>地块</t>
    </r>
    <r>
      <rPr>
        <sz val="11"/>
        <color rgb="FFFF0000"/>
        <rFont val="Arial"/>
        <family val="2"/>
      </rPr>
      <t>(27</t>
    </r>
    <r>
      <rPr>
        <sz val="11"/>
        <color rgb="FFFF0000"/>
        <rFont val="宋体"/>
        <family val="1"/>
        <charset val="204"/>
      </rPr>
      <t>号</t>
    </r>
    <r>
      <rPr>
        <sz val="11"/>
        <color rgb="FFFF0000"/>
        <rFont val="Arial"/>
        <family val="2"/>
      </rPr>
      <t>)</t>
    </r>
    <phoneticPr fontId="5" type="noConversion"/>
  </si>
  <si>
    <t>https://nb.newhouse.fang.com/loupan/2011124560/housedetail.htm</t>
    <phoneticPr fontId="5" type="noConversion"/>
  </si>
  <si>
    <r>
      <rPr>
        <sz val="11"/>
        <color rgb="FFFF0000"/>
        <rFont val="宋体"/>
        <family val="3"/>
        <charset val="134"/>
      </rPr>
      <t>德信中南</t>
    </r>
    <r>
      <rPr>
        <sz val="11"/>
        <color rgb="FFFF0000"/>
        <rFont val="Arial"/>
        <family val="2"/>
      </rPr>
      <t>·</t>
    </r>
    <r>
      <rPr>
        <sz val="11"/>
        <color rgb="FFFF0000"/>
        <rFont val="宋体"/>
        <family val="3"/>
        <charset val="134"/>
      </rPr>
      <t>江上云起，毛坯，周边均价</t>
    </r>
    <r>
      <rPr>
        <sz val="11"/>
        <color rgb="FFFF0000"/>
        <rFont val="Arial"/>
        <family val="2"/>
      </rPr>
      <t>1.2</t>
    </r>
    <r>
      <rPr>
        <sz val="11"/>
        <color rgb="FFFF0000"/>
        <rFont val="宋体"/>
        <family val="3"/>
        <charset val="134"/>
      </rPr>
      <t>万</t>
    </r>
    <r>
      <rPr>
        <sz val="11"/>
        <color rgb="FFFF0000"/>
        <rFont val="Arial"/>
        <family val="2"/>
      </rPr>
      <t>+</t>
    </r>
    <r>
      <rPr>
        <sz val="11"/>
        <color rgb="FFFF0000"/>
        <rFont val="宋体"/>
        <family val="3"/>
        <charset val="134"/>
      </rPr>
      <t>？未开盘</t>
    </r>
    <phoneticPr fontId="5" type="noConversion"/>
  </si>
  <si>
    <r>
      <rPr>
        <sz val="11"/>
        <color theme="1"/>
        <rFont val="宋体"/>
        <family val="3"/>
        <charset val="134"/>
      </rPr>
      <t>宁海甲由申置业于</t>
    </r>
    <r>
      <rPr>
        <sz val="11"/>
        <color theme="1"/>
        <rFont val="Arial"/>
        <family val="2"/>
      </rPr>
      <t>19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日竟得，楼面价</t>
    </r>
    <r>
      <rPr>
        <sz val="11"/>
        <color theme="1"/>
        <rFont val="Arial"/>
        <family val="2"/>
      </rPr>
      <t>3000</t>
    </r>
    <r>
      <rPr>
        <sz val="11"/>
        <color theme="1"/>
        <rFont val="宋体"/>
        <family val="3"/>
        <charset val="134"/>
      </rPr>
      <t>，案名中南春风江南院，毛坯洋房</t>
    </r>
    <r>
      <rPr>
        <sz val="11"/>
        <color theme="1"/>
        <rFont val="Arial"/>
        <family val="2"/>
      </rPr>
      <t>1.05</t>
    </r>
    <r>
      <rPr>
        <sz val="11"/>
        <color theme="1"/>
        <rFont val="宋体"/>
        <family val="3"/>
        <charset val="134"/>
      </rPr>
      <t>万？未开盘</t>
    </r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</si>
  <si>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上悦城，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月开盘，毛坯均价</t>
    </r>
    <r>
      <rPr>
        <sz val="11"/>
        <color theme="1"/>
        <rFont val="Arial"/>
        <family val="2"/>
      </rPr>
      <t>9950-16328</t>
    </r>
    <phoneticPr fontId="5" type="noConversion"/>
  </si>
  <si>
    <r>
      <rPr>
        <sz val="11"/>
        <color theme="1"/>
        <rFont val="宋体"/>
        <family val="3"/>
        <charset val="134"/>
      </rPr>
      <t>中南九龙澜邸，</t>
    </r>
    <r>
      <rPr>
        <sz val="11"/>
        <color theme="1"/>
        <rFont val="Arial"/>
        <family val="2"/>
      </rPr>
      <t>2020-10-26</t>
    </r>
    <r>
      <rPr>
        <sz val="11"/>
        <color theme="1"/>
        <rFont val="宋体"/>
        <family val="3"/>
        <charset val="134"/>
      </rPr>
      <t>开盘，均价</t>
    </r>
    <r>
      <rPr>
        <sz val="11"/>
        <color theme="1"/>
        <rFont val="Arial"/>
        <family val="2"/>
      </rPr>
      <t>1.2</t>
    </r>
    <r>
      <rPr>
        <sz val="11"/>
        <color theme="1"/>
        <rFont val="宋体"/>
        <family val="3"/>
        <charset val="134"/>
      </rPr>
      <t>万</t>
    </r>
    <phoneticPr fontId="5" type="noConversion"/>
  </si>
  <si>
    <t>https://www.zhifang.com/project73626/</t>
    <phoneticPr fontId="5" type="noConversion"/>
  </si>
  <si>
    <t>诸暨市</t>
    <phoneticPr fontId="5" type="noConversion"/>
  </si>
  <si>
    <t>中南春风南岸，2020年12月开盘，高层毛坯1万，洋房1.35万</t>
    <phoneticPr fontId="5" type="noConversion"/>
  </si>
  <si>
    <t>中南威高林清月，2020年11月21日开盘，毛坯起价6900</t>
    <phoneticPr fontId="5" type="noConversion"/>
  </si>
  <si>
    <r>
      <rPr>
        <sz val="11"/>
        <color theme="1"/>
        <rFont val="宋体"/>
        <family val="3"/>
        <charset val="134"/>
      </rPr>
      <t>中南十洲，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29</t>
    </r>
    <r>
      <rPr>
        <sz val="11"/>
        <color theme="1"/>
        <rFont val="宋体"/>
        <family val="3"/>
        <charset val="134"/>
      </rPr>
      <t>日开盘，毛坯均价</t>
    </r>
    <r>
      <rPr>
        <sz val="11"/>
        <color theme="1"/>
        <rFont val="Arial"/>
        <family val="2"/>
      </rPr>
      <t>8000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㎡</t>
    </r>
    <phoneticPr fontId="5" type="noConversion"/>
  </si>
  <si>
    <r>
      <rPr>
        <sz val="11"/>
        <color rgb="FFFF0000"/>
        <rFont val="宋体"/>
        <family val="2"/>
      </rPr>
      <t>儋州</t>
    </r>
  </si>
  <si>
    <r>
      <rPr>
        <sz val="11"/>
        <color rgb="FFFF0000"/>
        <rFont val="宋体"/>
        <family val="2"/>
      </rPr>
      <t>那大镇</t>
    </r>
  </si>
  <si>
    <r>
      <rPr>
        <sz val="11"/>
        <color rgb="FFFF0000"/>
        <rFont val="宋体"/>
        <family val="1"/>
        <charset val="204"/>
      </rPr>
      <t>（</t>
    </r>
    <r>
      <rPr>
        <sz val="11"/>
        <color rgb="FFFF0000"/>
        <rFont val="Arial"/>
        <family val="2"/>
      </rPr>
      <t>2020</t>
    </r>
    <r>
      <rPr>
        <sz val="11"/>
        <color rgb="FFFF0000"/>
        <rFont val="宋体"/>
        <family val="1"/>
        <charset val="204"/>
      </rPr>
      <t>）</t>
    </r>
    <r>
      <rPr>
        <sz val="11"/>
        <color rgb="FFFF0000"/>
        <rFont val="Arial"/>
        <family val="2"/>
      </rPr>
      <t>5</t>
    </r>
    <r>
      <rPr>
        <sz val="11"/>
        <color rgb="FFFF0000"/>
        <rFont val="宋体"/>
        <family val="1"/>
        <charset val="204"/>
      </rPr>
      <t>号、</t>
    </r>
    <r>
      <rPr>
        <sz val="11"/>
        <color rgb="FFFF0000"/>
        <rFont val="Arial"/>
        <family val="2"/>
      </rPr>
      <t>6</t>
    </r>
    <r>
      <rPr>
        <sz val="11"/>
        <color rgb="FFFF0000"/>
        <rFont val="宋体"/>
        <family val="1"/>
        <charset val="204"/>
      </rPr>
      <t>号地块</t>
    </r>
    <phoneticPr fontId="5" type="noConversion"/>
  </si>
  <si>
    <r>
      <rPr>
        <sz val="11"/>
        <color rgb="FFFF0000"/>
        <rFont val="宋体"/>
        <family val="3"/>
        <charset val="134"/>
      </rPr>
      <t>中南</t>
    </r>
    <r>
      <rPr>
        <sz val="11"/>
        <color rgb="FFFF0000"/>
        <rFont val="Arial"/>
        <family val="2"/>
      </rPr>
      <t>·</t>
    </r>
    <r>
      <rPr>
        <sz val="11"/>
        <color rgb="FFFF0000"/>
        <rFont val="宋体"/>
        <family val="3"/>
        <charset val="134"/>
      </rPr>
      <t>智慧城，打造儋州约50万㎡新一代旅居综合体，10#楼预计2021年1月30日开盘，主推户型为建面45㎡精装SOHO，周边均价9000</t>
    </r>
    <phoneticPr fontId="5" type="noConversion"/>
  </si>
  <si>
    <t>中南珑悦，2020年12月30日首次开盘，毛坯均价8600</t>
    <phoneticPr fontId="5" type="noConversion"/>
  </si>
  <si>
    <r>
      <rPr>
        <sz val="11"/>
        <color rgb="FFFF0000"/>
        <rFont val="宋体"/>
        <family val="2"/>
      </rPr>
      <t>威海</t>
    </r>
  </si>
  <si>
    <r>
      <rPr>
        <sz val="11"/>
        <color rgb="FFFF0000"/>
        <rFont val="宋体"/>
        <family val="1"/>
        <charset val="204"/>
      </rPr>
      <t>威自然资经挂（临）字〔</t>
    </r>
    <r>
      <rPr>
        <sz val="11"/>
        <color rgb="FFFF0000"/>
        <rFont val="Arial"/>
        <family val="2"/>
      </rPr>
      <t>2020</t>
    </r>
    <r>
      <rPr>
        <sz val="11"/>
        <color rgb="FFFF0000"/>
        <rFont val="宋体"/>
        <family val="1"/>
        <charset val="204"/>
      </rPr>
      <t>〕</t>
    </r>
    <r>
      <rPr>
        <sz val="11"/>
        <color rgb="FFFF0000"/>
        <rFont val="Arial"/>
        <family val="2"/>
      </rPr>
      <t>4</t>
    </r>
    <r>
      <rPr>
        <sz val="11"/>
        <color rgb="FFFF0000"/>
        <rFont val="宋体"/>
        <family val="1"/>
        <charset val="204"/>
      </rPr>
      <t>号地块</t>
    </r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</si>
  <si>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漫悦湾，2020年09月19日开盘，均价1.6万</t>
    </r>
    <phoneticPr fontId="5" type="noConversion"/>
  </si>
  <si>
    <r>
      <rPr>
        <sz val="11"/>
        <color theme="1"/>
        <rFont val="宋体"/>
        <family val="3"/>
        <charset val="134"/>
      </rPr>
      <t>大唐</t>
    </r>
    <r>
      <rPr>
        <sz val="11"/>
        <color theme="1"/>
        <rFont val="Arial"/>
        <family val="2"/>
      </rPr>
      <t>.</t>
    </r>
    <r>
      <rPr>
        <sz val="11"/>
        <color theme="1"/>
        <rFont val="宋体"/>
        <family val="3"/>
        <charset val="134"/>
      </rPr>
      <t>中南上悦城，</t>
    </r>
    <r>
      <rPr>
        <sz val="11"/>
        <color theme="1"/>
        <rFont val="Arial"/>
        <family val="2"/>
      </rPr>
      <t>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27</t>
    </r>
    <r>
      <rPr>
        <sz val="11"/>
        <color theme="1"/>
        <rFont val="宋体"/>
        <family val="3"/>
        <charset val="134"/>
      </rPr>
      <t>日首开，毛坯均价</t>
    </r>
    <r>
      <rPr>
        <sz val="11"/>
        <color theme="1"/>
        <rFont val="Arial"/>
        <family val="2"/>
      </rPr>
      <t>1.33</t>
    </r>
    <r>
      <rPr>
        <sz val="11"/>
        <color theme="1"/>
        <rFont val="宋体"/>
        <family val="3"/>
        <charset val="134"/>
      </rPr>
      <t>万</t>
    </r>
    <phoneticPr fontId="5" type="noConversion"/>
  </si>
  <si>
    <t>拿地日期</t>
    <phoneticPr fontId="5" type="noConversion"/>
  </si>
  <si>
    <t>大亚湾新区</t>
    <phoneticPr fontId="5" type="noConversion"/>
  </si>
  <si>
    <t>大渡口区</t>
    <phoneticPr fontId="5" type="noConversion"/>
  </si>
  <si>
    <t>长安区</t>
    <phoneticPr fontId="5" type="noConversion"/>
  </si>
  <si>
    <r>
      <rPr>
        <sz val="11"/>
        <color indexed="8"/>
        <rFont val="宋体"/>
        <family val="1"/>
        <charset val="204"/>
      </rPr>
      <t>占地面积
（万㎡）</t>
    </r>
  </si>
  <si>
    <t>海门区</t>
  </si>
  <si>
    <t>武汉</t>
  </si>
  <si>
    <t>东西湖区</t>
  </si>
  <si>
    <t>CR20027地块</t>
    <phoneticPr fontId="5" type="noConversion"/>
  </si>
  <si>
    <t>CR20032地块</t>
    <phoneticPr fontId="5" type="noConversion"/>
  </si>
  <si>
    <t>紧邻中南·湖光映月，叠拼均价： 16200</t>
    <phoneticPr fontId="5" type="noConversion"/>
  </si>
  <si>
    <t>C20033地块</t>
    <phoneticPr fontId="5" type="noConversion"/>
  </si>
  <si>
    <t>P（2020）130、131号地块</t>
    <phoneticPr fontId="5" type="noConversion"/>
  </si>
  <si>
    <t>周边毛坯均价12000+</t>
    <phoneticPr fontId="5" type="noConversion"/>
  </si>
  <si>
    <t>五星酒店</t>
    <phoneticPr fontId="5" type="noConversion"/>
  </si>
  <si>
    <r>
      <rPr>
        <sz val="11"/>
        <color theme="1"/>
        <rFont val="等线"/>
        <family val="2"/>
      </rPr>
      <t>鼓楼区</t>
    </r>
    <r>
      <rPr>
        <sz val="11"/>
        <color theme="1"/>
        <rFont val="Arial"/>
        <family val="2"/>
      </rPr>
      <t>2018-55</t>
    </r>
    <r>
      <rPr>
        <sz val="11"/>
        <color theme="1"/>
        <rFont val="等线"/>
        <family val="2"/>
      </rPr>
      <t>号地块</t>
    </r>
    <phoneticPr fontId="5" type="noConversion"/>
  </si>
  <si>
    <t>鼓楼区</t>
    <phoneticPr fontId="5" type="noConversion"/>
  </si>
  <si>
    <t>房天下</t>
    <phoneticPr fontId="5" type="noConversion"/>
  </si>
  <si>
    <t>备注</t>
    <phoneticPr fontId="5" type="noConversion"/>
  </si>
  <si>
    <t>颐居·隐山观湖，2018-04-26开盘，均价9500</t>
    <phoneticPr fontId="5" type="noConversion"/>
  </si>
  <si>
    <t>https://xz.newhouse.fang.com/loupan/1811199300.htm</t>
    <phoneticPr fontId="5" type="noConversion"/>
  </si>
  <si>
    <t>迎宾大道北，商聚路西</t>
    <phoneticPr fontId="5" type="noConversion"/>
  </si>
  <si>
    <t>https://xz.loupan.com/dongtai/7072980.html</t>
    <phoneticPr fontId="5" type="noConversion"/>
  </si>
  <si>
    <t>雲珑府，旭辉地产 , 中南置地 , 水利地产合作开发，2018年11月29日开盘，均价11000？已售罄</t>
    <phoneticPr fontId="5" type="noConversion"/>
  </si>
  <si>
    <t>https://house.xz.xafc.com/41253/xinxi.html</t>
    <phoneticPr fontId="5" type="noConversion"/>
  </si>
  <si>
    <t>销售收入（万元）</t>
    <phoneticPr fontId="5" type="noConversion"/>
  </si>
  <si>
    <t>毛利润（万元）</t>
    <phoneticPr fontId="5" type="noConversion"/>
  </si>
  <si>
    <t>楼面价（元/㎡）</t>
    <phoneticPr fontId="5" type="noConversion"/>
  </si>
  <si>
    <t>观澜别院，保利、中南置地、碧桂园联合开发，2018年12月8号开盘，均价17000到21000，已售罄</t>
    <phoneticPr fontId="5" type="noConversion"/>
  </si>
  <si>
    <t>诸暨环城东路与祥安路交叉口西南侧地块</t>
    <phoneticPr fontId="5" type="noConversion"/>
  </si>
  <si>
    <t>龙信拍得，与万科、中南合作，旁边沁园和麓园均价2万</t>
    <phoneticPr fontId="5" type="noConversion"/>
  </si>
  <si>
    <r>
      <rPr>
        <sz val="11"/>
        <color rgb="FFC00000"/>
        <rFont val="宋体"/>
        <family val="2"/>
      </rPr>
      <t>温州</t>
    </r>
  </si>
  <si>
    <r>
      <rPr>
        <sz val="11"/>
        <color rgb="FFC00000"/>
        <rFont val="宋体"/>
        <family val="2"/>
      </rPr>
      <t>瑞安市</t>
    </r>
  </si>
  <si>
    <r>
      <rPr>
        <sz val="11"/>
        <color rgb="FFC00000"/>
        <rFont val="宋体"/>
        <family val="1"/>
        <charset val="204"/>
      </rPr>
      <t>莘塍东单元</t>
    </r>
    <r>
      <rPr>
        <sz val="11"/>
        <color rgb="FFC00000"/>
        <rFont val="Arial"/>
        <family val="2"/>
      </rPr>
      <t>04-15</t>
    </r>
    <r>
      <rPr>
        <sz val="11"/>
        <color rgb="FFC00000"/>
        <rFont val="宋体"/>
        <family val="1"/>
        <charset val="204"/>
      </rPr>
      <t>地块</t>
    </r>
    <phoneticPr fontId="5" type="noConversion"/>
  </si>
  <si>
    <r>
      <rPr>
        <sz val="11"/>
        <color rgb="FFC00000"/>
        <rFont val="宋体"/>
        <family val="3"/>
        <charset val="134"/>
      </rPr>
      <t>中南</t>
    </r>
    <r>
      <rPr>
        <sz val="11"/>
        <color rgb="FFC00000"/>
        <rFont val="Arial"/>
        <family val="2"/>
      </rPr>
      <t>·</t>
    </r>
    <r>
      <rPr>
        <sz val="11"/>
        <color rgb="FFC00000"/>
        <rFont val="宋体"/>
        <family val="3"/>
        <charset val="134"/>
      </rPr>
      <t>紫云集里，</t>
    </r>
    <r>
      <rPr>
        <sz val="11"/>
        <color rgb="FFC00000"/>
        <rFont val="Arial"/>
        <family val="2"/>
      </rPr>
      <t>2020-10-31</t>
    </r>
    <r>
      <rPr>
        <sz val="11"/>
        <color rgb="FFC00000"/>
        <rFont val="宋体"/>
        <family val="3"/>
        <charset val="134"/>
      </rPr>
      <t>开盘，毛坯均价</t>
    </r>
    <r>
      <rPr>
        <sz val="11"/>
        <color rgb="FFC00000"/>
        <rFont val="Arial"/>
        <family val="2"/>
      </rPr>
      <t>19972</t>
    </r>
    <phoneticPr fontId="5" type="noConversion"/>
  </si>
  <si>
    <t>潍城区</t>
  </si>
  <si>
    <t>深圳</t>
  </si>
  <si>
    <t>宝安区</t>
  </si>
  <si>
    <t>2020-W70A 地块</t>
    <phoneticPr fontId="5" type="noConversion"/>
  </si>
  <si>
    <t>x</t>
    <phoneticPr fontId="5" type="noConversion"/>
  </si>
  <si>
    <t>y</t>
    <phoneticPr fontId="5" type="noConversion"/>
  </si>
  <si>
    <t>旁边恒信阳光假日毛坯7700</t>
    <phoneticPr fontId="5" type="noConversion"/>
  </si>
  <si>
    <t>新安街道宝城 25 区及新安25
区城市更新项目一期C 项目</t>
    <phoneticPr fontId="5" type="noConversion"/>
  </si>
  <si>
    <t>旁边大悦城天玺壹号毛坯63000，厂房、综合楼为主，回迁不多</t>
    <phoneticPr fontId="5" type="noConversion"/>
  </si>
  <si>
    <t>金桥东路南侧、牡丹江路西侧</t>
    <phoneticPr fontId="5" type="noConversion"/>
  </si>
  <si>
    <t>项目名称</t>
  </si>
  <si>
    <t>亭湖区</t>
  </si>
  <si>
    <t>上虞区</t>
  </si>
  <si>
    <t>滁州</t>
  </si>
  <si>
    <t>来安县</t>
  </si>
  <si>
    <t>长安区</t>
  </si>
  <si>
    <t>保山</t>
  </si>
  <si>
    <t>芒云山项目</t>
    <phoneticPr fontId="5" type="noConversion"/>
  </si>
  <si>
    <t>腾冲市</t>
    <phoneticPr fontId="5" type="noConversion"/>
  </si>
  <si>
    <t>20203501 地块</t>
    <phoneticPr fontId="5" type="noConversion"/>
  </si>
  <si>
    <t>滨海〔2020〕J2(JB-01-F-4-8-2)地块</t>
    <phoneticPr fontId="5" type="noConversion"/>
  </si>
  <si>
    <t>由盐南滨杰和滨海恒玖竟得，溢价率44.2%，周边13000</t>
    <phoneticPr fontId="5" type="noConversion"/>
  </si>
  <si>
    <t>由新城&amp;驭远控股竟得，溢价率0.80%，周边11000？</t>
    <phoneticPr fontId="5" type="noConversion"/>
  </si>
  <si>
    <t>LASZ2021-5 号地块</t>
    <phoneticPr fontId="5" type="noConversion"/>
  </si>
  <si>
    <t>溢价率0.3%，碧桂园毛坯8000</t>
    <phoneticPr fontId="5" type="noConversion"/>
  </si>
  <si>
    <t>CA16-5-5 地块</t>
    <phoneticPr fontId="5" type="noConversion"/>
  </si>
  <si>
    <t>商务用地</t>
    <phoneticPr fontId="5" type="noConversion"/>
  </si>
  <si>
    <t>腾冲酒店，地价白送</t>
    <phoneticPr fontId="5" type="noConversion"/>
  </si>
  <si>
    <t>GHM 酒店项目</t>
    <phoneticPr fontId="5" type="noConversion"/>
  </si>
  <si>
    <t>普洱</t>
    <phoneticPr fontId="5" type="noConversion"/>
  </si>
  <si>
    <t>大亚湾新区</t>
    <phoneticPr fontId="5" type="noConversion"/>
  </si>
  <si>
    <t>南通中南君悦府</t>
    <phoneticPr fontId="5" type="noConversion"/>
  </si>
  <si>
    <t>https://cd.newhouse.fang.com/loupan/3210161590.htm</t>
    <phoneticPr fontId="5" type="noConversion"/>
  </si>
  <si>
    <t>https://cd.newhouse.fang.com/loupan/3210159992/housedetail.htm</t>
    <phoneticPr fontId="5" type="noConversion"/>
  </si>
  <si>
    <t>https://newhouse.fang.com/loupan/1010123427.htm</t>
    <phoneticPr fontId="5" type="noConversion"/>
  </si>
  <si>
    <t>https://changshu.newhouse.fang.com/loupan/1825138538/housedetail.htm</t>
    <phoneticPr fontId="5" type="noConversion"/>
  </si>
  <si>
    <t>https://yz.newhouse.fang.com/loupan/1816126434/dongtai/</t>
    <phoneticPr fontId="5" type="noConversion"/>
  </si>
  <si>
    <t>颐和公馆，与颐居、融创联合开发，预计均价18700，尚未开盘</t>
    <phoneticPr fontId="5" type="noConversion"/>
  </si>
  <si>
    <t>https://zhenjiang.newhouse.fang.com/loupan/1819143256/housedetail.htm</t>
    <phoneticPr fontId="5" type="noConversion"/>
  </si>
  <si>
    <t>宏兴东路南、东方大道西</t>
    <phoneticPr fontId="5" type="noConversion"/>
  </si>
  <si>
    <t>温江81亩</t>
    <phoneticPr fontId="5" type="noConversion"/>
  </si>
  <si>
    <t>北临温泉大道，东临恒大未来城</t>
    <phoneticPr fontId="5" type="noConversion"/>
  </si>
  <si>
    <t>中南云樾，售罄</t>
    <phoneticPr fontId="5" type="noConversion"/>
  </si>
  <si>
    <t>https://cd.news.fang.com/house/3210160086_8243389.htm</t>
    <phoneticPr fontId="5" type="noConversion"/>
  </si>
  <si>
    <t>东：40米规划路南：15米规划绿地西：30米规划路北：规划界限</t>
    <phoneticPr fontId="5" type="noConversion"/>
  </si>
  <si>
    <t>https://sy.newhouse.fang.com/loupan/1617155493/housedetail.htm</t>
    <phoneticPr fontId="5" type="noConversion"/>
  </si>
  <si>
    <t>https://km.newhouse.fang.com/loupan/3410167940.htm</t>
    <phoneticPr fontId="5" type="noConversion"/>
  </si>
  <si>
    <t>碧桂园竟得，湖湾天境，售罄</t>
    <phoneticPr fontId="5" type="noConversion"/>
  </si>
  <si>
    <t>北至南昌路、南至长沙路、西至蒙河路、东至孝河路</t>
    <phoneticPr fontId="5" type="noConversion"/>
  </si>
  <si>
    <t>中南鲁商樾府，售罄</t>
    <phoneticPr fontId="5" type="noConversion"/>
  </si>
  <si>
    <t>官渡区巫家坝地块</t>
    <phoneticPr fontId="5" type="noConversion"/>
  </si>
  <si>
    <t>https://km.newhouse.fang.com/loupan/3410168012.htm</t>
    <phoneticPr fontId="5" type="noConversion"/>
  </si>
  <si>
    <t>2017B-004</t>
    <phoneticPr fontId="5" type="noConversion"/>
  </si>
  <si>
    <t>铂珺花园，售罄</t>
    <phoneticPr fontId="5" type="noConversion"/>
  </si>
  <si>
    <t>南至天斑路，其余为规划道路</t>
    <phoneticPr fontId="5" type="noConversion"/>
  </si>
  <si>
    <t>https://cd.newhouse.fang.com/loupan/3210160128/housedetail.htm</t>
    <phoneticPr fontId="5" type="noConversion"/>
  </si>
  <si>
    <t>中南海棠集，清水价格12000-15000</t>
    <phoneticPr fontId="5" type="noConversion"/>
  </si>
  <si>
    <t>大兴东路以北，西二环以东</t>
    <phoneticPr fontId="5" type="noConversion"/>
  </si>
  <si>
    <t>西安</t>
    <phoneticPr fontId="5" type="noConversion"/>
  </si>
  <si>
    <t>https://xian.newhouse.fang.com/loupan/3610190684/dongtai/</t>
    <phoneticPr fontId="5" type="noConversion"/>
  </si>
  <si>
    <t>圆融竟得，还剩3栋在售</t>
    <phoneticPr fontId="5" type="noConversion"/>
  </si>
  <si>
    <t>https://nt.newhouse.fang.com/loupan/1818148414.htm</t>
    <phoneticPr fontId="5" type="noConversion"/>
  </si>
  <si>
    <t>金地竟得，金地、中南、中天联合开发，金地艺境售罄</t>
    <phoneticPr fontId="5" type="noConversion"/>
  </si>
  <si>
    <t>海上传奇，售罄</t>
    <phoneticPr fontId="5" type="noConversion"/>
  </si>
  <si>
    <t>黄岛区开拓路东，前湾港路北</t>
    <phoneticPr fontId="5" type="noConversion"/>
  </si>
  <si>
    <t>中南漫悦湾，售罄</t>
    <phoneticPr fontId="5" type="noConversion"/>
  </si>
  <si>
    <t>芜太公路以南、万福城以北</t>
    <phoneticPr fontId="5" type="noConversion"/>
  </si>
  <si>
    <t>https://nanjing.newhouse.fang.com/loupan/1810178758/housedetail.htm</t>
    <phoneticPr fontId="5" type="noConversion"/>
  </si>
  <si>
    <t>高淳</t>
    <phoneticPr fontId="5" type="noConversion"/>
  </si>
  <si>
    <t>同融创中南御园</t>
    <phoneticPr fontId="5" type="noConversion"/>
  </si>
  <si>
    <t>融创中南御园，叠拼11000，联排16500</t>
    <phoneticPr fontId="5" type="noConversion"/>
  </si>
  <si>
    <t>市区泗港路东侧</t>
    <phoneticPr fontId="5" type="noConversion"/>
  </si>
  <si>
    <t>中南樾府，售罄</t>
    <phoneticPr fontId="5" type="noConversion"/>
  </si>
  <si>
    <t>林翠路西、复兴东路北</t>
    <phoneticPr fontId="5" type="noConversion"/>
  </si>
  <si>
    <t>云樾东方，售罄</t>
    <phoneticPr fontId="5" type="noConversion"/>
  </si>
  <si>
    <t>马鞍山熙悦，售罄</t>
    <phoneticPr fontId="5" type="noConversion"/>
  </si>
  <si>
    <t>西至志远路，南至樱前街，东北为规划路</t>
    <phoneticPr fontId="5" type="noConversion"/>
  </si>
  <si>
    <t>中南·熙悦，2018年5月27日已开盘，毛坯均价9800</t>
    <phoneticPr fontId="5" type="noConversion"/>
  </si>
  <si>
    <t>经开区港城大道东侧</t>
    <phoneticPr fontId="5" type="noConversion"/>
  </si>
  <si>
    <t>2014-B06-B</t>
    <phoneticPr fontId="5" type="noConversion"/>
  </si>
  <si>
    <t>https://zjg.newhouse.fang.com/loupan/1827148634/housedetail.htm</t>
    <phoneticPr fontId="5" type="noConversion"/>
  </si>
  <si>
    <t>暨阳府，均价23500，2019-12-29开盘</t>
  </si>
  <si>
    <t>北至宝通街、西至潍县中路、东南两侧为规划路</t>
    <phoneticPr fontId="5" type="noConversion"/>
  </si>
  <si>
    <t>https://wf.newhouse.fang.com/loupan/2415199657/housedetail.htm</t>
    <phoneticPr fontId="5" type="noConversion"/>
  </si>
  <si>
    <t>中南保利樾府，2018-04-30开盘，毛坯均价9500，少量在售</t>
    <phoneticPr fontId="5" type="noConversion"/>
  </si>
  <si>
    <t>咸阳彩虹二路</t>
    <phoneticPr fontId="5" type="noConversion"/>
  </si>
  <si>
    <t>宝泉路以南，彩虹二路以西</t>
    <phoneticPr fontId="5" type="noConversion"/>
  </si>
  <si>
    <t>2017-13地块</t>
    <phoneticPr fontId="5" type="noConversion"/>
  </si>
  <si>
    <t>https://ahsuzhou.newhouse.fang.com/loupan/2121127992/housedetail.htm</t>
    <phoneticPr fontId="5" type="noConversion"/>
  </si>
  <si>
    <t>浐灞世园</t>
    <phoneticPr fontId="5" type="noConversion"/>
  </si>
  <si>
    <t>https://xian.newhouse.fang.com/house/3610190354/dongtai_2,2.htm</t>
    <phoneticPr fontId="5" type="noConversion"/>
  </si>
  <si>
    <t>尚林路以南</t>
    <phoneticPr fontId="5" type="noConversion"/>
  </si>
  <si>
    <t>https://xian.newhouse.fang.com/loupan/3610190446/housedetail.htm</t>
    <phoneticPr fontId="5" type="noConversion"/>
  </si>
  <si>
    <t>中南·紫云集，均价12000，售罄？</t>
    <phoneticPr fontId="5" type="noConversion"/>
  </si>
  <si>
    <t>中南·樾府，均价12000，售罄？</t>
    <phoneticPr fontId="5" type="noConversion"/>
  </si>
  <si>
    <t>中南君悦府·熙悦，毛坯均价11000，二期在售，快售罄？</t>
    <phoneticPr fontId="5" type="noConversion"/>
  </si>
  <si>
    <t>中南·玖熙墅，高层售罄，叠拼在售，均价2万？</t>
    <phoneticPr fontId="5" type="noConversion"/>
  </si>
  <si>
    <t>https://sy.newhouse.fang.com/loupan/1617155495/dongtai/</t>
    <phoneticPr fontId="5" type="noConversion"/>
  </si>
  <si>
    <t>枫丹酩悦，均价11000，售罄</t>
    <phoneticPr fontId="5" type="noConversion"/>
  </si>
  <si>
    <t>https://nb.newhouse.fang.com/loupan/2011123128/housedetail.htm</t>
    <phoneticPr fontId="5" type="noConversion"/>
  </si>
  <si>
    <t>溪悦江南大院，毛坯均价13000，售罄？</t>
    <phoneticPr fontId="5" type="noConversion"/>
  </si>
  <si>
    <t>国开区平江路东、碧云路北</t>
    <phoneticPr fontId="5" type="noConversion"/>
  </si>
  <si>
    <t>https://tc.newhouse.fang.com/loupan/1828114860/housedetail.htm</t>
    <phoneticPr fontId="5" type="noConversion"/>
  </si>
  <si>
    <t>海上时光，精装14000，在售</t>
    <phoneticPr fontId="5" type="noConversion"/>
  </si>
  <si>
    <t>东至创新南路，南至张巡路，西至腾飞路，北至帝喾路</t>
    <phoneticPr fontId="5" type="noConversion"/>
  </si>
  <si>
    <t>项目名称</t>
    <phoneticPr fontId="41" type="noConversion"/>
  </si>
  <si>
    <t>所在城市</t>
  </si>
  <si>
    <t>土地面积</t>
  </si>
  <si>
    <t>容积率</t>
    <phoneticPr fontId="41" type="noConversion"/>
  </si>
  <si>
    <t>总建筑面积</t>
    <phoneticPr fontId="41" type="noConversion"/>
  </si>
  <si>
    <t>楼面地价</t>
  </si>
  <si>
    <t>土地价款</t>
    <phoneticPr fontId="41" type="noConversion"/>
  </si>
  <si>
    <t>2016年销售面积</t>
    <phoneticPr fontId="41" type="noConversion"/>
  </si>
  <si>
    <t>2016年销售金额(万元）</t>
    <phoneticPr fontId="41" type="noConversion"/>
  </si>
  <si>
    <t>2016年销售权益额(万元）</t>
    <phoneticPr fontId="41" type="noConversion"/>
  </si>
  <si>
    <t>未开发及未结算面积</t>
    <phoneticPr fontId="41" type="noConversion"/>
  </si>
  <si>
    <t>备注</t>
    <phoneticPr fontId="41" type="noConversion"/>
  </si>
  <si>
    <t>房天下</t>
    <phoneticPr fontId="41" type="noConversion"/>
  </si>
  <si>
    <t>南京锦安中垠（G16)</t>
    <phoneticPr fontId="41" type="noConversion"/>
  </si>
  <si>
    <t>南京江宁</t>
    <phoneticPr fontId="41" type="noConversion"/>
  </si>
  <si>
    <t>还剩一些</t>
    <phoneticPr fontId="41" type="noConversion"/>
  </si>
  <si>
    <t>https://nanjing.newhouse.fang.com/loupan/1810178208.htm</t>
    <phoneticPr fontId="41" type="noConversion"/>
  </si>
  <si>
    <t>南京中南锦城（G22)</t>
    <phoneticPr fontId="41" type="noConversion"/>
  </si>
  <si>
    <t>南京江宁</t>
  </si>
  <si>
    <t>苏州开平项目</t>
    <phoneticPr fontId="41" type="noConversion"/>
  </si>
  <si>
    <t>苏州吴江</t>
    <phoneticPr fontId="41" type="noConversion"/>
  </si>
  <si>
    <t>常熟中南世纪城</t>
    <phoneticPr fontId="41" type="noConversion"/>
  </si>
  <si>
    <t>苏州常熟</t>
  </si>
  <si>
    <t>南京中南世纪雅苑</t>
    <phoneticPr fontId="41" type="noConversion"/>
  </si>
  <si>
    <t>南京</t>
  </si>
  <si>
    <t>上海桐南美麓</t>
    <phoneticPr fontId="41" type="noConversion"/>
  </si>
  <si>
    <t>上海奉贤</t>
  </si>
  <si>
    <t>南通中南世纪城</t>
    <phoneticPr fontId="41" type="noConversion"/>
  </si>
  <si>
    <t>南通崇川</t>
  </si>
  <si>
    <t>盐城中南世纪城</t>
    <phoneticPr fontId="41" type="noConversion"/>
  </si>
  <si>
    <t>上海南尚</t>
    <phoneticPr fontId="41" type="noConversion"/>
  </si>
  <si>
    <t>上海青浦</t>
    <phoneticPr fontId="41" type="noConversion"/>
  </si>
  <si>
    <t>南京花城（地铁小镇）</t>
    <phoneticPr fontId="41" type="noConversion"/>
  </si>
  <si>
    <t>镇江中南御锦城</t>
    <phoneticPr fontId="41" type="noConversion"/>
  </si>
  <si>
    <t>泰兴中南世纪城</t>
    <phoneticPr fontId="41" type="noConversion"/>
  </si>
  <si>
    <t>泰兴</t>
  </si>
  <si>
    <t>常熟中南锦苑</t>
    <phoneticPr fontId="41" type="noConversion"/>
  </si>
  <si>
    <t>武汉中南拂晓城项目108地块</t>
    <phoneticPr fontId="41" type="noConversion"/>
  </si>
  <si>
    <t>所剩不多</t>
    <phoneticPr fontId="41" type="noConversion"/>
  </si>
  <si>
    <t>https://wuhan.newhouse.fang.com/loupan/2610153922.htm</t>
    <phoneticPr fontId="41" type="noConversion"/>
  </si>
  <si>
    <t>青岛中南世纪城</t>
    <phoneticPr fontId="41" type="noConversion"/>
  </si>
  <si>
    <t>青岛</t>
    <phoneticPr fontId="41" type="noConversion"/>
  </si>
  <si>
    <t>去化不好？</t>
    <phoneticPr fontId="41" type="noConversion"/>
  </si>
  <si>
    <t>https://qd.newhouse.fang.com/loupan/2411502193.htm</t>
    <phoneticPr fontId="41" type="noConversion"/>
  </si>
  <si>
    <t>杭州锦望（萧山项目）</t>
    <phoneticPr fontId="41" type="noConversion"/>
  </si>
  <si>
    <t>杭州萧山</t>
    <phoneticPr fontId="41" type="noConversion"/>
  </si>
  <si>
    <t>中南君奥时代，售罄</t>
    <phoneticPr fontId="41" type="noConversion"/>
  </si>
  <si>
    <t>杭州御锦（余杭项目）</t>
    <phoneticPr fontId="41" type="noConversion"/>
  </si>
  <si>
    <t>杭州余杭</t>
  </si>
  <si>
    <t>中南未来里，售价4万？</t>
    <phoneticPr fontId="41" type="noConversion"/>
  </si>
  <si>
    <t>https://hz.newhouse.fang.com/loupan/2010186986.htm</t>
    <phoneticPr fontId="41" type="noConversion"/>
  </si>
  <si>
    <t>南京中南锦苑</t>
    <phoneticPr fontId="41" type="noConversion"/>
  </si>
  <si>
    <t>海门中南锦城</t>
    <phoneticPr fontId="41" type="noConversion"/>
  </si>
  <si>
    <t>苏州中南锦苑</t>
    <phoneticPr fontId="41" type="noConversion"/>
  </si>
  <si>
    <t>苏州园区</t>
  </si>
  <si>
    <t>南通佳期漫</t>
    <phoneticPr fontId="41" type="noConversion"/>
  </si>
  <si>
    <t>南通熙悦</t>
    <phoneticPr fontId="41" type="noConversion"/>
  </si>
  <si>
    <t>南通开发区</t>
    <phoneticPr fontId="41" type="noConversion"/>
  </si>
  <si>
    <t>吴江中南世纪城</t>
    <phoneticPr fontId="41" type="noConversion"/>
  </si>
  <si>
    <t>苏州吴江</t>
  </si>
  <si>
    <t>太仓锦城WG2016-9-2号</t>
    <phoneticPr fontId="41" type="noConversion"/>
  </si>
  <si>
    <t>苏州太仓</t>
  </si>
  <si>
    <t>常熟中南御锦城</t>
    <phoneticPr fontId="41" type="noConversion"/>
  </si>
  <si>
    <t>南京御锦城（G19)</t>
    <phoneticPr fontId="41" type="noConversion"/>
  </si>
  <si>
    <t>昆山中南锦城</t>
    <phoneticPr fontId="41" type="noConversion"/>
  </si>
  <si>
    <t>苏州昆山</t>
  </si>
  <si>
    <t>昆山中南世纪城</t>
    <phoneticPr fontId="41" type="noConversion"/>
  </si>
  <si>
    <t>镇江中南世纪城</t>
    <phoneticPr fontId="41" type="noConversion"/>
  </si>
  <si>
    <t>天津富海</t>
    <phoneticPr fontId="41" type="noConversion"/>
  </si>
  <si>
    <t>已售罄？</t>
    <phoneticPr fontId="41" type="noConversion"/>
  </si>
  <si>
    <t>https://tj.newhouse.fang.com/loupan/1110714805/dongtai/</t>
    <phoneticPr fontId="41" type="noConversion"/>
  </si>
  <si>
    <t>太仓中南世纪城</t>
    <phoneticPr fontId="41" type="noConversion"/>
  </si>
  <si>
    <t>淮安中南世纪城</t>
    <phoneticPr fontId="41" type="noConversion"/>
  </si>
  <si>
    <t>中南君悦府</t>
    <phoneticPr fontId="41" type="noConversion"/>
  </si>
  <si>
    <t>上海菁浦</t>
  </si>
  <si>
    <t>武汉中南煕悦项目</t>
    <phoneticPr fontId="41" type="noConversion"/>
  </si>
  <si>
    <t>https://wuhan.newhouse.fang.com/loupan/2610153898.htm</t>
    <phoneticPr fontId="41" type="noConversion"/>
  </si>
  <si>
    <t>武汉中南拂晓城项目109地块</t>
    <phoneticPr fontId="41" type="noConversion"/>
  </si>
  <si>
    <t>https://wuhan.newhouse.fang.com/loupan/2610153922.htm</t>
  </si>
  <si>
    <t>海门煕悦</t>
    <phoneticPr fontId="41" type="noConversion"/>
  </si>
  <si>
    <t>海门中南世纪城</t>
    <phoneticPr fontId="41" type="noConversion"/>
  </si>
  <si>
    <t>海门中南世纪锦苑</t>
    <phoneticPr fontId="41" type="noConversion"/>
  </si>
  <si>
    <t>中南碧桂园</t>
    <phoneticPr fontId="41" type="noConversion"/>
  </si>
  <si>
    <t>常熟中南香缇苑</t>
    <phoneticPr fontId="41" type="noConversion"/>
  </si>
  <si>
    <t>广饶中南世纪城</t>
    <phoneticPr fontId="41" type="noConversion"/>
  </si>
  <si>
    <t>无锡中南雅苑</t>
    <phoneticPr fontId="41" type="noConversion"/>
  </si>
  <si>
    <t>无锡新吴</t>
    <phoneticPr fontId="41" type="noConversion"/>
  </si>
  <si>
    <t>上海中南锦庭</t>
    <phoneticPr fontId="41" type="noConversion"/>
  </si>
  <si>
    <t>南通军山半岛</t>
    <phoneticPr fontId="41" type="noConversion"/>
  </si>
  <si>
    <t>常熟中南世纪锦城</t>
    <phoneticPr fontId="41" type="noConversion"/>
  </si>
  <si>
    <t>中南锦城，毛坯现房在售，目前仅13#商铺在售？</t>
    <phoneticPr fontId="41" type="noConversion"/>
  </si>
  <si>
    <t>https://changshu.newhouse.fang.com/loupan/1826089076/housedetail.htm</t>
    <phoneticPr fontId="41" type="noConversion"/>
  </si>
  <si>
    <t>南通漫悦湾</t>
    <phoneticPr fontId="41" type="noConversion"/>
  </si>
  <si>
    <t>南通港闸</t>
    <phoneticPr fontId="41" type="noConversion"/>
  </si>
  <si>
    <t>菏泽中南花城</t>
    <phoneticPr fontId="41" type="noConversion"/>
  </si>
  <si>
    <t>菏泽</t>
  </si>
  <si>
    <t>https://heze.newhouse.fang.com/loupan/2426129577/dongtai/</t>
    <phoneticPr fontId="41" type="noConversion"/>
  </si>
  <si>
    <t>南通锦恒</t>
    <phoneticPr fontId="41" type="noConversion"/>
  </si>
  <si>
    <t>南通通州</t>
  </si>
  <si>
    <t>通州中万大都会（育才学）</t>
    <phoneticPr fontId="41" type="noConversion"/>
  </si>
  <si>
    <t>苏州中南雅苑</t>
    <phoneticPr fontId="41" type="noConversion"/>
  </si>
  <si>
    <t>苏州吴中</t>
  </si>
  <si>
    <t>碧桂园翡翠华府</t>
    <phoneticPr fontId="41" type="noConversion"/>
  </si>
  <si>
    <t>太仓锦城WG2016-9-3号</t>
    <phoneticPr fontId="41" type="noConversion"/>
  </si>
  <si>
    <t>北京中南云锦</t>
    <phoneticPr fontId="41" type="noConversion"/>
  </si>
  <si>
    <t>北京密云</t>
  </si>
  <si>
    <t>捂盘惜售？</t>
    <phoneticPr fontId="41" type="noConversion"/>
  </si>
  <si>
    <t>淮安中南世纪锦城</t>
    <phoneticPr fontId="41" type="noConversion"/>
  </si>
  <si>
    <t>淮安</t>
    <phoneticPr fontId="41" type="noConversion"/>
  </si>
  <si>
    <t>上海灏景湾</t>
    <phoneticPr fontId="41" type="noConversion"/>
  </si>
  <si>
    <t>嘉兴乍浦中南君悦府项目</t>
    <phoneticPr fontId="41" type="noConversion"/>
  </si>
  <si>
    <t>嘉兴乍浦</t>
    <phoneticPr fontId="41" type="noConversion"/>
  </si>
  <si>
    <t>儋州中南西海岸</t>
    <phoneticPr fontId="41" type="noConversion"/>
  </si>
  <si>
    <t>儋州</t>
    <phoneticPr fontId="41" type="noConversion"/>
  </si>
  <si>
    <t>所剩不多？</t>
    <phoneticPr fontId="41" type="noConversion"/>
  </si>
  <si>
    <t>https://hn.newhouse.fang.com/loupan/5010991846/dongtai/</t>
    <phoneticPr fontId="41" type="noConversion"/>
  </si>
  <si>
    <t>寿光</t>
  </si>
  <si>
    <t>南充中南世纪城</t>
    <phoneticPr fontId="41" type="noConversion"/>
  </si>
  <si>
    <t>常熟琴东雅苑</t>
    <phoneticPr fontId="41" type="noConversion"/>
  </si>
  <si>
    <t>海门锦尚名苑</t>
    <phoneticPr fontId="41" type="noConversion"/>
  </si>
  <si>
    <t>营口中南世纪城</t>
    <phoneticPr fontId="41" type="noConversion"/>
  </si>
  <si>
    <t>营口</t>
  </si>
  <si>
    <t>https://yk.newhouse.fang.com/loupan/1611705127/dongtai/</t>
    <phoneticPr fontId="41" type="noConversion"/>
  </si>
  <si>
    <t>海□漫悦湾</t>
    <phoneticPr fontId="41" type="noConversion"/>
  </si>
  <si>
    <t>东营中南世纪城</t>
    <phoneticPr fontId="41" type="noConversion"/>
  </si>
  <si>
    <t>东营</t>
  </si>
  <si>
    <t>南通中南世纪花城</t>
    <phoneticPr fontId="41" type="noConversion"/>
  </si>
  <si>
    <t>烟台中南山海湾</t>
    <phoneticPr fontId="41" type="noConversion"/>
  </si>
  <si>
    <t>菁岛海湾新城</t>
    <phoneticPr fontId="41" type="noConversion"/>
  </si>
  <si>
    <t>泰安中南世纪城</t>
    <phoneticPr fontId="41" type="noConversion"/>
  </si>
  <si>
    <t>沈阳中南世纪城</t>
    <phoneticPr fontId="41" type="noConversion"/>
  </si>
  <si>
    <t>南京溧水中南锦城</t>
    <phoneticPr fontId="41" type="noConversion"/>
  </si>
  <si>
    <t>南京溧水</t>
  </si>
  <si>
    <t>泰安中南财源门</t>
    <phoneticPr fontId="41" type="noConversion"/>
  </si>
  <si>
    <t>中南·财源门，商铺</t>
    <phoneticPr fontId="41" type="noConversion"/>
  </si>
  <si>
    <t>https://taian.newhouse.fang.com/loupan/2419810057/dongtai/</t>
    <phoneticPr fontId="41" type="noConversion"/>
  </si>
  <si>
    <t>寿光中南世纪城</t>
    <phoneticPr fontId="41" type="noConversion"/>
  </si>
  <si>
    <t>如皋中南世纪城</t>
    <phoneticPr fontId="41" type="noConversion"/>
  </si>
  <si>
    <t>如皋</t>
    <phoneticPr fontId="41" type="noConversion"/>
  </si>
  <si>
    <t>中南唐山湾旅游度假区</t>
    <phoneticPr fontId="41" type="noConversion"/>
  </si>
  <si>
    <t>唐山</t>
  </si>
  <si>
    <t>未来海岸（售完）+拉唯那，中南唐山湾</t>
    <phoneticPr fontId="41" type="noConversion"/>
  </si>
  <si>
    <t>https://ts.newhouse.fang.com/loupan/1316739591.htm</t>
    <phoneticPr fontId="41" type="noConversion"/>
  </si>
  <si>
    <t>菏泽中南世纪城</t>
    <phoneticPr fontId="41" type="noConversion"/>
  </si>
  <si>
    <t>万宁中南芭提亚</t>
    <phoneticPr fontId="41" type="noConversion"/>
  </si>
  <si>
    <t>万宁</t>
  </si>
  <si>
    <t>南充中南时代外滩2</t>
    <phoneticPr fontId="41" type="noConversion"/>
  </si>
  <si>
    <t>中南祿口G65</t>
    <phoneticPr fontId="41" type="noConversion"/>
  </si>
  <si>
    <t>中南棉花塘</t>
    <phoneticPr fontId="41" type="noConversion"/>
  </si>
  <si>
    <t>https://nanjing.newhouse.fang.com/loupan/1810178642/dongtai/</t>
    <phoneticPr fontId="41" type="noConversion"/>
  </si>
  <si>
    <t>海南昌江中南林海间</t>
    <phoneticPr fontId="41" type="noConversion"/>
  </si>
  <si>
    <t>昌江</t>
    <phoneticPr fontId="41" type="noConversion"/>
  </si>
  <si>
    <t>潜江中南世纪锦城</t>
    <phoneticPr fontId="41" type="noConversion"/>
  </si>
  <si>
    <t>潜江</t>
    <phoneticPr fontId="41" type="noConversion"/>
  </si>
  <si>
    <t>在售</t>
    <phoneticPr fontId="41" type="noConversion"/>
  </si>
  <si>
    <t>https://qj.newhouse.fang.com/loupan/2625168316/dongtai/</t>
    <phoneticPr fontId="41" type="noConversion"/>
  </si>
  <si>
    <t>潜江中南世纪城</t>
    <phoneticPr fontId="41" type="noConversion"/>
  </si>
  <si>
    <t>文昌中南森海湾</t>
    <phoneticPr fontId="41" type="noConversion"/>
  </si>
  <si>
    <t>文昌</t>
  </si>
  <si>
    <t>南充中南时代外滩1</t>
    <phoneticPr fontId="41" type="noConversion"/>
  </si>
  <si>
    <t>潜江中南世纪雅苑</t>
    <phoneticPr fontId="41" type="noConversion"/>
  </si>
  <si>
    <t>潜江</t>
  </si>
  <si>
    <t>苏州中南中心</t>
    <phoneticPr fontId="41" type="noConversion"/>
  </si>
  <si>
    <t>苏州</t>
  </si>
  <si>
    <t>南京仙鹤门项目</t>
    <phoneticPr fontId="41" type="noConversion"/>
  </si>
  <si>
    <t>南京玄武</t>
  </si>
  <si>
    <t>https://shangqiu.newhouse.fang.com/loupan/2523199179/housedetail.htm</t>
    <phoneticPr fontId="5" type="noConversion"/>
  </si>
  <si>
    <t>商丘</t>
    <phoneticPr fontId="5" type="noConversion"/>
  </si>
  <si>
    <t>绿地中南漫悦湾，2019年4月30日开盘，精装8000？</t>
    <phoneticPr fontId="5" type="noConversion"/>
  </si>
  <si>
    <t>https://fs.newhouse.fang.com/loupan/2822156694/housedetail.htm</t>
    <phoneticPr fontId="5" type="noConversion"/>
  </si>
  <si>
    <t>上悦城，售罄</t>
    <phoneticPr fontId="5" type="noConversion"/>
  </si>
  <si>
    <t>上悦花园，售罄</t>
    <phoneticPr fontId="5" type="noConversion"/>
  </si>
  <si>
    <t>东至高都路，南至下中坝32号地块，西至江东大道，北至成南高速公路。</t>
    <phoneticPr fontId="5" type="noConversion"/>
  </si>
  <si>
    <t>南充</t>
    <phoneticPr fontId="5" type="noConversion"/>
  </si>
  <si>
    <t>中南漫悦湾，毛坯7200，售罄</t>
    <phoneticPr fontId="5" type="noConversion"/>
  </si>
  <si>
    <t>中创大都会，售罄</t>
    <phoneticPr fontId="5" type="noConversion"/>
  </si>
  <si>
    <t>梧桐苑，售罄</t>
    <phoneticPr fontId="5" type="noConversion"/>
  </si>
  <si>
    <t>新世纪大道西侧、金桥路南侧</t>
    <phoneticPr fontId="5" type="noConversion"/>
  </si>
  <si>
    <t>铂金时代，售罄</t>
    <phoneticPr fontId="5" type="noConversion"/>
  </si>
  <si>
    <t>同 绿地中南漫悦湾</t>
    <phoneticPr fontId="5" type="noConversion"/>
  </si>
  <si>
    <t>中南熙悦，售罄</t>
    <phoneticPr fontId="5" type="noConversion"/>
  </si>
  <si>
    <t>建德</t>
    <phoneticPr fontId="5" type="noConversion"/>
  </si>
  <si>
    <t>漫悦湾 ，售罄</t>
    <phoneticPr fontId="5" type="noConversion"/>
  </si>
  <si>
    <t>成都</t>
    <phoneticPr fontId="5" type="noConversion"/>
  </si>
  <si>
    <t>温江区凤溪大道西侧、五洞桥路北侧</t>
    <phoneticPr fontId="5" type="noConversion"/>
  </si>
  <si>
    <t>https://cd.newhouse.fang.com/loupan/3210160086/dongtai/</t>
    <phoneticPr fontId="5" type="noConversion"/>
  </si>
  <si>
    <t>中南上熙府，售罄？</t>
    <phoneticPr fontId="5" type="noConversion"/>
  </si>
  <si>
    <t>长兴岛</t>
    <phoneticPr fontId="5" type="noConversion"/>
  </si>
  <si>
    <t>https://sh.newhouse.fang.com/loupan/1210126230.htm</t>
    <phoneticPr fontId="5" type="noConversion"/>
  </si>
  <si>
    <t>中南江山美宸，售罄？</t>
    <phoneticPr fontId="5" type="noConversion"/>
  </si>
  <si>
    <t>随州</t>
    <phoneticPr fontId="5" type="noConversion"/>
  </si>
  <si>
    <t>查不到</t>
    <phoneticPr fontId="5" type="noConversion"/>
  </si>
  <si>
    <t>经开区B地块</t>
    <phoneticPr fontId="5" type="noConversion"/>
  </si>
  <si>
    <t>中南春溪集，售罄</t>
    <phoneticPr fontId="5" type="noConversion"/>
  </si>
  <si>
    <t>邯郸</t>
    <phoneticPr fontId="5" type="noConversion"/>
  </si>
  <si>
    <t>https://hd.newhouse.fang.com/loupan/1311184081.htm</t>
    <phoneticPr fontId="5" type="noConversion"/>
  </si>
  <si>
    <t>御河·尚苑，售罄</t>
    <phoneticPr fontId="5" type="noConversion"/>
  </si>
  <si>
    <t>嘉兴</t>
    <phoneticPr fontId="5" type="noConversion"/>
  </si>
  <si>
    <t>中南闻荷府，售罄</t>
    <phoneticPr fontId="5" type="noConversion"/>
  </si>
  <si>
    <t>常熟</t>
    <phoneticPr fontId="5" type="noConversion"/>
  </si>
  <si>
    <t>熙悦豪庭，售罄？</t>
    <phoneticPr fontId="5" type="noConversion"/>
  </si>
  <si>
    <t>https://changshu.newhouse.fang.com/loupan/1825138510.htm</t>
    <phoneticPr fontId="5" type="noConversion"/>
  </si>
  <si>
    <t>镇江</t>
    <phoneticPr fontId="5" type="noConversion"/>
  </si>
  <si>
    <t>https://zhenjiang.newhouse.fang.com/loupan/1819143362/housedetail.htm</t>
    <phoneticPr fontId="5" type="noConversion"/>
  </si>
  <si>
    <t>中南·香漫园，毛坯均价10000-14500，正在清盘</t>
    <phoneticPr fontId="5" type="noConversion"/>
  </si>
  <si>
    <t>珠江路北侧、泰州路东、闽江路南、庐山路北</t>
    <phoneticPr fontId="5" type="noConversion"/>
  </si>
  <si>
    <t>邳州</t>
    <phoneticPr fontId="5" type="noConversion"/>
  </si>
  <si>
    <t>中南·珍宝岛·熙悦，售罄</t>
    <phoneticPr fontId="5" type="noConversion"/>
  </si>
  <si>
    <t>https://changshu.newhouse.fang.com/loupan/1825138528.htm</t>
    <phoneticPr fontId="5" type="noConversion"/>
  </si>
  <si>
    <t>珺悦阁，售罄</t>
    <phoneticPr fontId="5" type="noConversion"/>
  </si>
  <si>
    <t>中南熙悦 ，售罄</t>
    <phoneticPr fontId="5" type="noConversion"/>
  </si>
  <si>
    <t>中南熙悦府，售罄</t>
    <phoneticPr fontId="5" type="noConversion"/>
  </si>
  <si>
    <t>https://pinghu.newhouse.fang.com/loupan/2033168528/housedetail.htm</t>
    <phoneticPr fontId="5" type="noConversion"/>
  </si>
  <si>
    <t>新仓海上明悦，与正荣联合开发，在售</t>
    <phoneticPr fontId="5" type="noConversion"/>
  </si>
  <si>
    <t>宁波</t>
    <phoneticPr fontId="5" type="noConversion"/>
  </si>
  <si>
    <t>https://nb.newhouse.fang.com/loupan/2011122906/housedetail.htm</t>
    <phoneticPr fontId="5" type="noConversion"/>
  </si>
  <si>
    <t>紫宸府，所剩不多</t>
    <phoneticPr fontId="5" type="noConversion"/>
  </si>
  <si>
    <t>开封</t>
    <phoneticPr fontId="5" type="noConversion"/>
  </si>
  <si>
    <t>https://kaifeng.newhouse.fang.com/loupan/2511129539/housedetail.htm</t>
    <phoneticPr fontId="5" type="noConversion"/>
  </si>
  <si>
    <t>中南樾府，待售</t>
    <phoneticPr fontId="5" type="noConversion"/>
  </si>
  <si>
    <t>乍浦</t>
    <phoneticPr fontId="5" type="noConversion"/>
  </si>
  <si>
    <t>乍浦泷悦府，售罄</t>
    <phoneticPr fontId="5" type="noConversion"/>
  </si>
  <si>
    <t>东至中州路、南至规划路、西至学院路、北至帝喾路</t>
    <phoneticPr fontId="5" type="noConversion"/>
  </si>
  <si>
    <t>盐城</t>
    <phoneticPr fontId="5" type="noConversion"/>
  </si>
  <si>
    <t>https://yancheng.newhouse.fang.com/loupan/1815175888/housedetail.htm</t>
    <phoneticPr fontId="5" type="noConversion"/>
  </si>
  <si>
    <t>翡翠之光，均价12000，在售</t>
    <phoneticPr fontId="5" type="noConversion"/>
  </si>
  <si>
    <t>泰安</t>
    <phoneticPr fontId="5" type="noConversion"/>
  </si>
  <si>
    <t>https://taian.newhouse.fang.com/loupan/2419165771/housedetail.htm</t>
    <phoneticPr fontId="5" type="noConversion"/>
  </si>
  <si>
    <t>中南·佳期漫，大量在售</t>
    <phoneticPr fontId="5" type="noConversion"/>
  </si>
  <si>
    <t>太仓</t>
    <phoneticPr fontId="5" type="noConversion"/>
  </si>
  <si>
    <t>北至开元河，南至泰东路，西至开元河，东至高铁南街</t>
    <phoneticPr fontId="5" type="noConversion"/>
  </si>
  <si>
    <t>漫悦兰庭，售罄</t>
    <phoneticPr fontId="5" type="noConversion"/>
  </si>
  <si>
    <t>通州</t>
    <phoneticPr fontId="5" type="noConversion"/>
  </si>
  <si>
    <t>https://nt.loupan.com/dongtai/7118146.html</t>
    <phoneticPr fontId="5" type="noConversion"/>
  </si>
  <si>
    <t>通州玖熙墅，在售</t>
    <phoneticPr fontId="5" type="noConversion"/>
  </si>
  <si>
    <t>上海</t>
    <phoneticPr fontId="5" type="noConversion"/>
  </si>
  <si>
    <t>海湾商办项目</t>
    <phoneticPr fontId="5" type="noConversion"/>
  </si>
  <si>
    <t>https://tc.newhouse.fang.com/loupan/1828114868/housedetail.htm</t>
    <phoneticPr fontId="5" type="noConversion"/>
  </si>
  <si>
    <t>依云水岸，均价14000，大量在售？</t>
    <phoneticPr fontId="5" type="noConversion"/>
  </si>
  <si>
    <t>https://jx.fang.anjuke.com/loupan/441332.html?from=loupan_tab</t>
    <phoneticPr fontId="5" type="noConversion"/>
  </si>
  <si>
    <t>九龙山漫悦湾，在售</t>
    <phoneticPr fontId="5" type="noConversion"/>
  </si>
  <si>
    <t>张家港</t>
    <phoneticPr fontId="5" type="noConversion"/>
  </si>
  <si>
    <t>东望花园，售罄</t>
    <phoneticPr fontId="5" type="noConversion"/>
  </si>
  <si>
    <t>余姚</t>
    <phoneticPr fontId="5" type="noConversion"/>
  </si>
  <si>
    <t>余姚漫悦湾</t>
    <phoneticPr fontId="5" type="noConversion"/>
  </si>
  <si>
    <t>https://nb.newhouse.fang.com/loupan/2011123148/housedetail.htm</t>
    <phoneticPr fontId="5" type="noConversion"/>
  </si>
  <si>
    <t>余姚漫悦湾，在售</t>
    <phoneticPr fontId="5" type="noConversion"/>
  </si>
  <si>
    <t>宿迁</t>
    <phoneticPr fontId="5" type="noConversion"/>
  </si>
  <si>
    <t>珑悦 ，售罄</t>
    <phoneticPr fontId="5" type="noConversion"/>
  </si>
  <si>
    <t>如皋</t>
    <phoneticPr fontId="5" type="noConversion"/>
  </si>
  <si>
    <t>世纪城，售罄</t>
    <phoneticPr fontId="5" type="noConversion"/>
  </si>
  <si>
    <t>中南煕悦，售罄</t>
    <phoneticPr fontId="5" type="noConversion"/>
  </si>
  <si>
    <t>天津</t>
    <phoneticPr fontId="5" type="noConversion"/>
  </si>
  <si>
    <t>新壹街广场</t>
    <phoneticPr fontId="5" type="noConversion"/>
  </si>
  <si>
    <t>如东</t>
    <phoneticPr fontId="5" type="noConversion"/>
  </si>
  <si>
    <t>漫悦湾，售罄</t>
    <phoneticPr fontId="5" type="noConversion"/>
  </si>
  <si>
    <t>通州玖熙墅 ，在售</t>
    <phoneticPr fontId="5" type="noConversion"/>
  </si>
  <si>
    <t>广饶</t>
    <phoneticPr fontId="5" type="noConversion"/>
  </si>
  <si>
    <t>中南熙悦，售罄？</t>
    <phoneticPr fontId="5" type="noConversion"/>
  </si>
  <si>
    <t>沈阳</t>
    <phoneticPr fontId="5" type="noConversion"/>
  </si>
  <si>
    <t>平度</t>
    <phoneticPr fontId="5" type="noConversion"/>
  </si>
  <si>
    <t>中南漫悦湾，售罄？</t>
    <phoneticPr fontId="5" type="noConversion"/>
  </si>
  <si>
    <t>乍浦泓悦府，毛坯12500，在售</t>
    <phoneticPr fontId="5" type="noConversion"/>
  </si>
  <si>
    <t>https://jx.newhouse.fang.com/loupan/2014164848/dongtai/</t>
    <phoneticPr fontId="5" type="noConversion"/>
  </si>
  <si>
    <t>平湖独山港</t>
    <phoneticPr fontId="5" type="noConversion"/>
  </si>
  <si>
    <t>https://nb.newhouse.fang.com/loupan/2011122176/housedetail.htm</t>
    <phoneticPr fontId="5" type="noConversion"/>
  </si>
  <si>
    <t>林肯公园，碧桂园和中南联合开发，售罄</t>
    <phoneticPr fontId="5" type="noConversion"/>
  </si>
  <si>
    <t>丁香路南侧、玫瑰路东侧地块</t>
    <phoneticPr fontId="5" type="noConversion"/>
  </si>
  <si>
    <t>钟楼区</t>
    <phoneticPr fontId="5" type="noConversion"/>
  </si>
  <si>
    <r>
      <rPr>
        <sz val="11"/>
        <color theme="1"/>
        <rFont val="等线"/>
        <family val="2"/>
      </rPr>
      <t>科教新城</t>
    </r>
    <r>
      <rPr>
        <sz val="11"/>
        <color theme="1"/>
        <rFont val="Arial"/>
        <family val="2"/>
      </rPr>
      <t>WG2018-26-2</t>
    </r>
    <r>
      <rPr>
        <sz val="11"/>
        <color theme="1"/>
        <rFont val="等线"/>
        <family val="2"/>
      </rPr>
      <t>地块</t>
    </r>
    <phoneticPr fontId="5" type="noConversion"/>
  </si>
  <si>
    <t>太仓市</t>
    <phoneticPr fontId="5" type="noConversion"/>
  </si>
  <si>
    <r>
      <t>R2018-008</t>
    </r>
    <r>
      <rPr>
        <sz val="11"/>
        <color theme="1"/>
        <rFont val="等线"/>
        <family val="2"/>
      </rPr>
      <t>地块</t>
    </r>
    <phoneticPr fontId="5" type="noConversion"/>
  </si>
  <si>
    <t>通州区</t>
    <phoneticPr fontId="5" type="noConversion"/>
  </si>
  <si>
    <r>
      <rPr>
        <sz val="11"/>
        <color theme="1"/>
        <rFont val="等线"/>
        <family val="2"/>
      </rPr>
      <t>南湖片区</t>
    </r>
    <r>
      <rPr>
        <sz val="11"/>
        <color theme="1"/>
        <rFont val="Arial"/>
        <family val="2"/>
      </rPr>
      <t>D-6-11</t>
    </r>
    <r>
      <rPr>
        <sz val="11"/>
        <color theme="1"/>
        <rFont val="等线"/>
        <family val="2"/>
      </rPr>
      <t>地块</t>
    </r>
    <phoneticPr fontId="5" type="noConversion"/>
  </si>
  <si>
    <t>梧田新区</t>
    <phoneticPr fontId="5" type="noConversion"/>
  </si>
  <si>
    <r>
      <rPr>
        <sz val="11"/>
        <color theme="1"/>
        <rFont val="等线"/>
        <family val="2"/>
      </rPr>
      <t>茶白片区南湖单元</t>
    </r>
    <r>
      <rPr>
        <sz val="11"/>
        <color theme="1"/>
        <rFont val="Arial"/>
        <family val="2"/>
      </rPr>
      <t>A-09</t>
    </r>
    <r>
      <rPr>
        <sz val="11"/>
        <color theme="1"/>
        <rFont val="等线"/>
        <family val="2"/>
      </rPr>
      <t>地块</t>
    </r>
    <phoneticPr fontId="5" type="noConversion"/>
  </si>
  <si>
    <t>瓯海区</t>
    <phoneticPr fontId="5" type="noConversion"/>
  </si>
  <si>
    <r>
      <rPr>
        <sz val="11"/>
        <color theme="1"/>
        <rFont val="等线"/>
        <family val="2"/>
      </rPr>
      <t>柯桥城区</t>
    </r>
    <r>
      <rPr>
        <sz val="11"/>
        <color theme="1"/>
        <rFont val="Arial"/>
        <family val="2"/>
      </rPr>
      <t>R-16</t>
    </r>
    <r>
      <rPr>
        <sz val="11"/>
        <color theme="1"/>
        <rFont val="等线"/>
        <family val="2"/>
      </rPr>
      <t>地块</t>
    </r>
    <phoneticPr fontId="5" type="noConversion"/>
  </si>
  <si>
    <t>柯桥区</t>
    <phoneticPr fontId="5" type="noConversion"/>
  </si>
  <si>
    <r>
      <rPr>
        <sz val="11"/>
        <color theme="1"/>
        <rFont val="等线"/>
        <family val="2"/>
      </rPr>
      <t>广陈镇龙萌村</t>
    </r>
    <r>
      <rPr>
        <sz val="11"/>
        <color theme="1"/>
        <rFont val="Arial"/>
        <family val="2"/>
      </rPr>
      <t>6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7</t>
    </r>
    <r>
      <rPr>
        <sz val="11"/>
        <color theme="1"/>
        <rFont val="等线"/>
        <family val="2"/>
      </rPr>
      <t>组地块</t>
    </r>
    <phoneticPr fontId="5" type="noConversion"/>
  </si>
  <si>
    <t>平湖市</t>
    <phoneticPr fontId="5" type="noConversion"/>
  </si>
  <si>
    <t>下水南大溪南岸地块</t>
    <phoneticPr fontId="5" type="noConversion"/>
  </si>
  <si>
    <t>莲都区</t>
    <phoneticPr fontId="5" type="noConversion"/>
  </si>
  <si>
    <t>金清镇商业街出让地块</t>
    <phoneticPr fontId="5" type="noConversion"/>
  </si>
  <si>
    <t>路桥区</t>
    <phoneticPr fontId="5" type="noConversion"/>
  </si>
  <si>
    <t>泾河新城地块</t>
    <phoneticPr fontId="5" type="noConversion"/>
  </si>
  <si>
    <t>绍兴</t>
    <phoneticPr fontId="5" type="noConversion"/>
  </si>
  <si>
    <t>https://sx.newhouse.fang.com/loupan/2015181608.htm</t>
    <phoneticPr fontId="5" type="noConversion"/>
  </si>
  <si>
    <t>旭辉宽阅雅苑，售罄</t>
  </si>
  <si>
    <r>
      <rPr>
        <sz val="11"/>
        <color theme="1"/>
        <rFont val="等线"/>
        <family val="2"/>
      </rPr>
      <t>南通</t>
    </r>
    <r>
      <rPr>
        <sz val="11"/>
        <color theme="1"/>
        <rFont val="Arial"/>
        <family val="2"/>
      </rPr>
      <t>R17044</t>
    </r>
    <r>
      <rPr>
        <sz val="11"/>
        <color theme="1"/>
        <rFont val="等线"/>
        <family val="2"/>
      </rPr>
      <t>地块（开发区春风南岸）</t>
    </r>
    <phoneticPr fontId="5" type="noConversion"/>
  </si>
  <si>
    <t>春风南岸，售罄</t>
    <phoneticPr fontId="5" type="noConversion"/>
  </si>
  <si>
    <r>
      <rPr>
        <sz val="11"/>
        <color theme="1"/>
        <rFont val="等线"/>
        <family val="2"/>
      </rPr>
      <t>合肥高新区</t>
    </r>
    <r>
      <rPr>
        <sz val="11"/>
        <color theme="1"/>
        <rFont val="Arial"/>
        <family val="2"/>
      </rPr>
      <t>KP1-3</t>
    </r>
    <r>
      <rPr>
        <sz val="11"/>
        <color theme="1"/>
        <rFont val="等线"/>
        <family val="2"/>
      </rPr>
      <t>地块</t>
    </r>
    <phoneticPr fontId="5" type="noConversion"/>
  </si>
  <si>
    <t>https://hf.newhouse.fang.com/loupan/2111276714/dongtai/</t>
    <phoneticPr fontId="5" type="noConversion"/>
  </si>
  <si>
    <t>北碚区</t>
    <phoneticPr fontId="5" type="noConversion"/>
  </si>
  <si>
    <t>https://cq.newhouse.fang.com/loupan/3110121704/housedetail.htm</t>
    <phoneticPr fontId="5" type="noConversion"/>
  </si>
  <si>
    <t>海门北京路项目</t>
    <phoneticPr fontId="5" type="noConversion"/>
  </si>
  <si>
    <t>海门市</t>
    <phoneticPr fontId="5" type="noConversion"/>
  </si>
  <si>
    <t>江海都会，售罄</t>
    <phoneticPr fontId="5" type="noConversion"/>
  </si>
  <si>
    <t>https://fs.newhouse.fang.com/loupan/2822156666/housedetail.htm</t>
    <phoneticPr fontId="5" type="noConversion"/>
  </si>
  <si>
    <t>海门熙悦天玺</t>
    <phoneticPr fontId="5" type="noConversion"/>
  </si>
  <si>
    <t>熙悦天玺，售罄</t>
    <phoneticPr fontId="5" type="noConversion"/>
  </si>
  <si>
    <t>旭辉金茂新城国瑞府，售罄</t>
    <phoneticPr fontId="5" type="noConversion"/>
  </si>
  <si>
    <t>https://gy.newhouse.fang.com/loupan/3314141326/housedetail.htm</t>
    <phoneticPr fontId="5" type="noConversion"/>
  </si>
  <si>
    <t>中南瓯海印象北府，售罄</t>
    <phoneticPr fontId="5" type="noConversion"/>
  </si>
  <si>
    <r>
      <rPr>
        <sz val="11"/>
        <color theme="1"/>
        <rFont val="等线"/>
        <family val="2"/>
      </rPr>
      <t>苏州太湖新城</t>
    </r>
    <r>
      <rPr>
        <sz val="11"/>
        <color theme="1"/>
        <rFont val="Arial"/>
        <family val="2"/>
      </rPr>
      <t>WJ-J-2018-053</t>
    </r>
    <r>
      <rPr>
        <sz val="11"/>
        <color theme="1"/>
        <rFont val="等线"/>
        <family val="2"/>
      </rPr>
      <t>号地块</t>
    </r>
    <phoneticPr fontId="5" type="noConversion"/>
  </si>
  <si>
    <t>吴江区</t>
    <phoneticPr fontId="5" type="noConversion"/>
  </si>
  <si>
    <t>紫云集，售罄</t>
    <phoneticPr fontId="5" type="noConversion"/>
  </si>
  <si>
    <t>许昌中南金玉堂</t>
    <phoneticPr fontId="5" type="noConversion"/>
  </si>
  <si>
    <t>https://xuchang.newhouse.fang.com/loupan/2519156325/housedetail.htm</t>
    <phoneticPr fontId="5" type="noConversion"/>
  </si>
  <si>
    <t>润州区</t>
    <phoneticPr fontId="5" type="noConversion"/>
  </si>
  <si>
    <t>https://zhenjiang.newhouse.fang.com/loupan/1819143858/housedetail.htm</t>
    <phoneticPr fontId="5" type="noConversion"/>
  </si>
  <si>
    <t>https://xian.newhouse.fang.com/loupan/3610190668/dongtai/</t>
    <phoneticPr fontId="5" type="noConversion"/>
  </si>
  <si>
    <t>婺城区</t>
    <phoneticPr fontId="5" type="noConversion"/>
  </si>
  <si>
    <t>海塘壹品，售罄</t>
    <phoneticPr fontId="5" type="noConversion"/>
  </si>
  <si>
    <t>慈溪市</t>
    <phoneticPr fontId="5" type="noConversion"/>
  </si>
  <si>
    <t>四季珑玥华府，售罄</t>
    <phoneticPr fontId="5" type="noConversion"/>
  </si>
  <si>
    <t>椒江区</t>
    <phoneticPr fontId="5" type="noConversion"/>
  </si>
  <si>
    <t>https://tz.newhouse.fang.com/loupan/2019201098/housedetail.htm</t>
    <phoneticPr fontId="5" type="noConversion"/>
  </si>
  <si>
    <t>开发区</t>
    <phoneticPr fontId="5" type="noConversion"/>
  </si>
  <si>
    <t>泉州</t>
    <phoneticPr fontId="5" type="noConversion"/>
  </si>
  <si>
    <t>漫悦湾，售罄</t>
    <phoneticPr fontId="5" type="noConversion"/>
  </si>
  <si>
    <t>桐庐县</t>
    <phoneticPr fontId="5" type="noConversion"/>
  </si>
  <si>
    <t>华鸿中南壹号院，售罄</t>
  </si>
  <si>
    <t>良庆区</t>
    <phoneticPr fontId="5" type="noConversion"/>
  </si>
  <si>
    <t>https://nn.newhouse.fang.com/loupan/2910195566/housedetail.htm</t>
    <phoneticPr fontId="5" type="noConversion"/>
  </si>
  <si>
    <t>中南紫云集，售罄</t>
    <phoneticPr fontId="5" type="noConversion"/>
  </si>
  <si>
    <t>东阳市</t>
    <phoneticPr fontId="5" type="noConversion"/>
  </si>
  <si>
    <t>樾府，售罄</t>
    <phoneticPr fontId="5" type="noConversion"/>
  </si>
  <si>
    <t>济宁珑悦</t>
    <phoneticPr fontId="5" type="noConversion"/>
  </si>
  <si>
    <t>https://jining.newhouse.fang.com/loupan/2418171035/housedetail.htm</t>
    <phoneticPr fontId="5" type="noConversion"/>
  </si>
  <si>
    <t>济宁</t>
    <phoneticPr fontId="5" type="noConversion"/>
  </si>
  <si>
    <t>苏州</t>
    <phoneticPr fontId="5" type="noConversion"/>
  </si>
  <si>
    <t>https://zjg.newhouse.fang.com/loupan/1827148678/housedetail.htm</t>
    <phoneticPr fontId="5" type="noConversion"/>
  </si>
  <si>
    <t>如皋新项目</t>
    <phoneticPr fontId="5" type="noConversion"/>
  </si>
  <si>
    <t>上悦城，售罄</t>
    <phoneticPr fontId="5" type="noConversion"/>
  </si>
  <si>
    <t>重庆万云府</t>
    <phoneticPr fontId="5" type="noConversion"/>
  </si>
  <si>
    <t>https://cq.newhouse.fang.com/loupan/3110121444/housedetail.htm</t>
    <phoneticPr fontId="5" type="noConversion"/>
  </si>
  <si>
    <t>红熙台，售罄</t>
    <phoneticPr fontId="5" type="noConversion"/>
  </si>
  <si>
    <t>凤桥镇</t>
    <phoneticPr fontId="5" type="noConversion"/>
  </si>
  <si>
    <r>
      <rPr>
        <sz val="11"/>
        <color theme="1"/>
        <rFont val="等线"/>
        <family val="2"/>
      </rPr>
      <t>嘉兴凤桥镇</t>
    </r>
    <r>
      <rPr>
        <sz val="11"/>
        <color theme="1"/>
        <rFont val="Arial"/>
        <family val="2"/>
      </rPr>
      <t>2017</t>
    </r>
    <r>
      <rPr>
        <sz val="11"/>
        <color theme="1"/>
        <rFont val="等线"/>
        <family val="2"/>
      </rPr>
      <t>南</t>
    </r>
    <r>
      <rPr>
        <sz val="11"/>
        <color theme="1"/>
        <rFont val="Arial"/>
        <family val="2"/>
      </rPr>
      <t>-041</t>
    </r>
    <r>
      <rPr>
        <sz val="11"/>
        <color theme="1"/>
        <rFont val="等线"/>
        <family val="2"/>
      </rPr>
      <t>号地块</t>
    </r>
    <phoneticPr fontId="5" type="noConversion"/>
  </si>
  <si>
    <t>中南春风里，售罄？</t>
    <phoneticPr fontId="5" type="noConversion"/>
  </si>
  <si>
    <t>衢州常山县城东新区心舟公园东南侧地块</t>
    <phoneticPr fontId="5" type="noConversion"/>
  </si>
  <si>
    <t>中南漫悦湾，售罄</t>
    <phoneticPr fontId="5" type="noConversion"/>
  </si>
  <si>
    <t>湘潭岳塘区河东大道以地块</t>
    <phoneticPr fontId="5" type="noConversion"/>
  </si>
  <si>
    <t>https://xt.newhouse.fang.com/loupan/2712115948/housedetail.htm</t>
    <phoneticPr fontId="5" type="noConversion"/>
  </si>
  <si>
    <t>镇海区</t>
    <phoneticPr fontId="5" type="noConversion"/>
  </si>
  <si>
    <t>https://nb.newhouse.fang.com/loupan/2011123230/housedetail.htm</t>
    <phoneticPr fontId="5" type="noConversion"/>
  </si>
  <si>
    <t>重庆西著七里</t>
    <phoneticPr fontId="5" type="noConversion"/>
  </si>
  <si>
    <t>沙坪坝区</t>
    <phoneticPr fontId="5" type="noConversion"/>
  </si>
  <si>
    <t>西著七里，售罄</t>
    <phoneticPr fontId="5" type="noConversion"/>
  </si>
  <si>
    <t>都会玖著，售罄</t>
    <phoneticPr fontId="5" type="noConversion"/>
  </si>
  <si>
    <t>翡丽云邸，售罄</t>
    <phoneticPr fontId="5" type="noConversion"/>
  </si>
  <si>
    <r>
      <rPr>
        <sz val="11"/>
        <color rgb="FFFF0000"/>
        <rFont val="等线"/>
        <family val="2"/>
      </rPr>
      <t>宁波</t>
    </r>
  </si>
  <si>
    <r>
      <rPr>
        <sz val="11"/>
        <color rgb="FFFF0000"/>
        <rFont val="等线"/>
        <family val="2"/>
      </rPr>
      <t>宁波杭州湾新区智慧宜居区块</t>
    </r>
    <r>
      <rPr>
        <sz val="11"/>
        <color rgb="FFFF0000"/>
        <rFont val="Arial"/>
        <family val="2"/>
      </rPr>
      <t>5#</t>
    </r>
    <r>
      <rPr>
        <sz val="11"/>
        <color rgb="FFFF0000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</si>
  <si>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慈溪新潮塘</t>
    </r>
    <r>
      <rPr>
        <sz val="11"/>
        <color theme="1"/>
        <rFont val="Arial"/>
        <family val="2"/>
      </rPr>
      <t>2#</t>
    </r>
    <r>
      <rPr>
        <sz val="11"/>
        <color theme="1"/>
        <rFont val="等线"/>
        <family val="2"/>
      </rPr>
      <t>地块</t>
    </r>
    <phoneticPr fontId="5" type="noConversion"/>
  </si>
  <si>
    <t>阅江府，售罄</t>
    <phoneticPr fontId="5" type="noConversion"/>
  </si>
  <si>
    <t>安徽蚌埠项目</t>
    <phoneticPr fontId="5" type="noConversion"/>
  </si>
  <si>
    <t>https://bengbu.newhouse.fang.com/loupan/2115200842.htm</t>
    <phoneticPr fontId="5" type="noConversion"/>
  </si>
  <si>
    <r>
      <rPr>
        <sz val="11"/>
        <color theme="1"/>
        <rFont val="等线"/>
        <family val="2"/>
      </rPr>
      <t>慈溪宗汉</t>
    </r>
    <r>
      <rPr>
        <sz val="11"/>
        <color theme="1"/>
        <rFont val="Arial"/>
        <family val="2"/>
      </rPr>
      <t>201402#</t>
    </r>
    <r>
      <rPr>
        <sz val="11"/>
        <color theme="1"/>
        <rFont val="等线"/>
        <family val="2"/>
      </rPr>
      <t>地块</t>
    </r>
    <phoneticPr fontId="5" type="noConversion"/>
  </si>
  <si>
    <t>青樾府，售罄？</t>
    <phoneticPr fontId="5" type="noConversion"/>
  </si>
  <si>
    <t>大亚湾经济技术开发区</t>
    <phoneticPr fontId="5" type="noConversion"/>
  </si>
  <si>
    <t>惠州嘉霖</t>
    <phoneticPr fontId="5" type="noConversion"/>
  </si>
  <si>
    <t>https://huizhou.newhouse.fang.com/loupan/2817163796/housedetail.htm</t>
    <phoneticPr fontId="5" type="noConversion"/>
  </si>
  <si>
    <t>林间漫，均价13000，在售</t>
    <phoneticPr fontId="5" type="noConversion"/>
  </si>
  <si>
    <t>徐水区</t>
    <phoneticPr fontId="5" type="noConversion"/>
  </si>
  <si>
    <t>https://bd.newhouse.fang.com/loupan/1313195955/housedetail.htm</t>
    <phoneticPr fontId="5" type="noConversion"/>
  </si>
  <si>
    <t>河北保定徐水尚熙府</t>
    <phoneticPr fontId="5" type="noConversion"/>
  </si>
  <si>
    <t>五华区</t>
    <phoneticPr fontId="5" type="noConversion"/>
  </si>
  <si>
    <t>https://www.fang.com/xinfang/km-3410168252/</t>
    <phoneticPr fontId="5" type="noConversion"/>
  </si>
  <si>
    <t>上悦天地，龙湖、海伦堡、中南联合开发</t>
    <phoneticPr fontId="5" type="noConversion"/>
  </si>
  <si>
    <t>利辛县</t>
    <phoneticPr fontId="5" type="noConversion"/>
  </si>
  <si>
    <t>https://bozhou.newhouse.fang.com/loupan/2126179118.htm</t>
    <phoneticPr fontId="5" type="noConversion"/>
  </si>
  <si>
    <t>新悦府，毛坯6500，位置偏了？</t>
    <phoneticPr fontId="5" type="noConversion"/>
  </si>
  <si>
    <t>南通春江阅</t>
    <phoneticPr fontId="5" type="noConversion"/>
  </si>
  <si>
    <t>春江阅，售罄</t>
    <phoneticPr fontId="5" type="noConversion"/>
  </si>
  <si>
    <t>紫宸府，售罄</t>
    <phoneticPr fontId="5" type="noConversion"/>
  </si>
  <si>
    <t>南通先锋项目</t>
    <phoneticPr fontId="5" type="noConversion"/>
  </si>
  <si>
    <t>珑悦，售罄</t>
    <phoneticPr fontId="5" type="noConversion"/>
  </si>
  <si>
    <t>南通湖畔堤</t>
    <phoneticPr fontId="5" type="noConversion"/>
  </si>
  <si>
    <t>崇川区</t>
    <phoneticPr fontId="5" type="noConversion"/>
  </si>
  <si>
    <t>湖畔堤，中南、华德、恒通联合开发，售罄</t>
    <phoneticPr fontId="5" type="noConversion"/>
  </si>
  <si>
    <t>烟台开发区三亚路</t>
    <phoneticPr fontId="5" type="noConversion"/>
  </si>
  <si>
    <t>烟台开发区</t>
    <phoneticPr fontId="5" type="noConversion"/>
  </si>
  <si>
    <t>东台熙悦</t>
    <phoneticPr fontId="5" type="noConversion"/>
  </si>
  <si>
    <t>东台熙悦，售罄</t>
    <phoneticPr fontId="5" type="noConversion"/>
  </si>
  <si>
    <t>江津区</t>
    <phoneticPr fontId="5" type="noConversion"/>
  </si>
  <si>
    <r>
      <rPr>
        <sz val="11"/>
        <color theme="1"/>
        <rFont val="等线"/>
        <family val="2"/>
      </rPr>
      <t>镇江</t>
    </r>
    <r>
      <rPr>
        <sz val="11"/>
        <color theme="1"/>
        <rFont val="Arial"/>
        <family val="2"/>
      </rPr>
      <t>2018/5/1</t>
    </r>
    <r>
      <rPr>
        <sz val="11"/>
        <color theme="1"/>
        <rFont val="等线"/>
        <family val="2"/>
      </rPr>
      <t>地块</t>
    </r>
    <phoneticPr fontId="5" type="noConversion"/>
  </si>
  <si>
    <t>京口区</t>
    <phoneticPr fontId="5" type="noConversion"/>
  </si>
  <si>
    <r>
      <rPr>
        <sz val="11"/>
        <color theme="1"/>
        <rFont val="宋体"/>
        <family val="3"/>
        <charset val="134"/>
      </rPr>
      <t>公园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号，售罄</t>
    </r>
    <phoneticPr fontId="5" type="noConversion"/>
  </si>
  <si>
    <t>天韵，售罄</t>
  </si>
  <si>
    <t>石家庄</t>
    <phoneticPr fontId="5" type="noConversion"/>
  </si>
  <si>
    <t>中南新悦府，信息不透明</t>
    <phoneticPr fontId="5" type="noConversion"/>
  </si>
  <si>
    <r>
      <rPr>
        <sz val="11"/>
        <color rgb="FFFF0000"/>
        <rFont val="等线"/>
        <family val="2"/>
      </rPr>
      <t>辛集市</t>
    </r>
  </si>
  <si>
    <r>
      <rPr>
        <sz val="11"/>
        <color rgb="FFFF0000"/>
        <rFont val="等线"/>
        <family val="2"/>
      </rPr>
      <t>辛集</t>
    </r>
    <r>
      <rPr>
        <sz val="11"/>
        <color rgb="FFFF0000"/>
        <rFont val="Arial"/>
        <family val="2"/>
      </rPr>
      <t>2018-012</t>
    </r>
    <r>
      <rPr>
        <sz val="11"/>
        <color rgb="FFFF0000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</si>
  <si>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慈溪慈崇寿</t>
    </r>
    <r>
      <rPr>
        <sz val="11"/>
        <color theme="1"/>
        <rFont val="Arial"/>
        <family val="2"/>
      </rPr>
      <t>I201702#</t>
    </r>
    <phoneticPr fontId="5" type="noConversion"/>
  </si>
  <si>
    <t>云邸华府，售罄</t>
    <phoneticPr fontId="5" type="noConversion"/>
  </si>
  <si>
    <t>山海湾商业地块</t>
    <phoneticPr fontId="5" type="noConversion"/>
  </si>
  <si>
    <t>烟台</t>
    <phoneticPr fontId="5" type="noConversion"/>
  </si>
  <si>
    <t>玖熙墅，售罄</t>
    <phoneticPr fontId="5" type="noConversion"/>
  </si>
  <si>
    <t>慈溪市</t>
    <phoneticPr fontId="5" type="noConversion"/>
  </si>
  <si>
    <t>梅州高铁东项目</t>
    <phoneticPr fontId="5" type="noConversion"/>
  </si>
  <si>
    <t>梅县区</t>
    <phoneticPr fontId="5" type="noConversion"/>
  </si>
  <si>
    <t>漫悦湾，售罄</t>
    <phoneticPr fontId="5" type="noConversion"/>
  </si>
  <si>
    <r>
      <rPr>
        <sz val="11"/>
        <color theme="1"/>
        <rFont val="等线"/>
        <family val="2"/>
      </rPr>
      <t>嘉兴平湖乍</t>
    </r>
    <r>
      <rPr>
        <sz val="11"/>
        <color theme="1"/>
        <rFont val="Arial"/>
        <family val="2"/>
      </rPr>
      <t>2018-16</t>
    </r>
    <r>
      <rPr>
        <sz val="11"/>
        <color theme="1"/>
        <rFont val="等线"/>
        <family val="2"/>
      </rPr>
      <t>号</t>
    </r>
    <phoneticPr fontId="5" type="noConversion"/>
  </si>
  <si>
    <t>平湖市</t>
    <phoneticPr fontId="5" type="noConversion"/>
  </si>
  <si>
    <t>中南锦悦府，售罄</t>
    <phoneticPr fontId="5" type="noConversion"/>
  </si>
  <si>
    <t>泰山区</t>
    <phoneticPr fontId="5" type="noConversion"/>
  </si>
  <si>
    <t>https://www.fang.com/xinfang/yt-2416163675/</t>
    <phoneticPr fontId="5" type="noConversion"/>
  </si>
  <si>
    <t>中南悠漫里，毛坯均价10000，在售</t>
    <phoneticPr fontId="5" type="noConversion"/>
  </si>
  <si>
    <t>济宁漫悦湾项目</t>
    <phoneticPr fontId="5" type="noConversion"/>
  </si>
  <si>
    <t>济宁漫悦湾，售罄</t>
    <phoneticPr fontId="5" type="noConversion"/>
  </si>
  <si>
    <t>灌南县</t>
    <phoneticPr fontId="5" type="noConversion"/>
  </si>
  <si>
    <t>https://lyg.newhouse.fang.com/loupan/1812138104/dongtai/</t>
    <phoneticPr fontId="5" type="noConversion"/>
  </si>
  <si>
    <t>清河区</t>
    <phoneticPr fontId="5" type="noConversion"/>
  </si>
  <si>
    <t>淮安</t>
    <phoneticPr fontId="5" type="noConversion"/>
  </si>
  <si>
    <t>樾府，售罄</t>
    <phoneticPr fontId="5" type="noConversion"/>
  </si>
  <si>
    <r>
      <rPr>
        <sz val="11"/>
        <color theme="1"/>
        <rFont val="等线"/>
        <family val="2"/>
      </rPr>
      <t>中南</t>
    </r>
    <r>
      <rPr>
        <sz val="11"/>
        <color theme="1"/>
        <rFont val="Arial"/>
        <family val="2"/>
      </rPr>
      <t>•</t>
    </r>
    <r>
      <rPr>
        <sz val="11"/>
        <color theme="1"/>
        <rFont val="等线"/>
        <family val="2"/>
      </rPr>
      <t>湖畔堤</t>
    </r>
    <phoneticPr fontId="5" type="noConversion"/>
  </si>
  <si>
    <t>湖畔堤，售罄</t>
    <phoneticPr fontId="5" type="noConversion"/>
  </si>
  <si>
    <t>龙口熙悦</t>
    <phoneticPr fontId="5" type="noConversion"/>
  </si>
  <si>
    <t>https://yt.newhouse.fang.com/loupan/2416163207/housedetail.htm</t>
    <phoneticPr fontId="5" type="noConversion"/>
  </si>
  <si>
    <t>https://tz.newhouse.fang.com/loupan/2019201220/housedetail.htm</t>
    <phoneticPr fontId="5" type="noConversion"/>
  </si>
  <si>
    <t>中南菩悦和悦府，去化不好？</t>
    <phoneticPr fontId="5" type="noConversion"/>
  </si>
  <si>
    <t>北仑区</t>
    <phoneticPr fontId="5" type="noConversion"/>
  </si>
  <si>
    <t>中南漫悦湾，售罄</t>
    <phoneticPr fontId="5" type="noConversion"/>
  </si>
  <si>
    <t>开封中南林樾</t>
    <phoneticPr fontId="5" type="noConversion"/>
  </si>
  <si>
    <t>https://kaifeng.newhouse.fang.com/loupan/2511129607/dongtai/</t>
    <phoneticPr fontId="5" type="noConversion"/>
  </si>
  <si>
    <t>临淄区</t>
    <phoneticPr fontId="5" type="noConversion"/>
  </si>
  <si>
    <r>
      <rPr>
        <sz val="11"/>
        <color theme="1"/>
        <rFont val="宋体"/>
        <family val="3"/>
        <charset val="134"/>
      </rPr>
      <t>淄江府，毛坯</t>
    </r>
    <r>
      <rPr>
        <sz val="11"/>
        <color theme="1"/>
        <rFont val="Arial"/>
        <family val="2"/>
      </rPr>
      <t>11800</t>
    </r>
    <r>
      <rPr>
        <sz val="11"/>
        <color theme="1"/>
        <rFont val="宋体"/>
        <family val="3"/>
        <charset val="134"/>
      </rPr>
      <t>，在售</t>
    </r>
    <phoneticPr fontId="5" type="noConversion"/>
  </si>
  <si>
    <t>https://zb.newhouse.fang.com/loupan/2412175967/dongtai/</t>
    <phoneticPr fontId="5" type="noConversion"/>
  </si>
  <si>
    <t>中南瓯海印象，售罄</t>
    <phoneticPr fontId="5" type="noConversion"/>
  </si>
  <si>
    <r>
      <rPr>
        <sz val="11"/>
        <color theme="1"/>
        <rFont val="等线"/>
        <family val="2"/>
      </rPr>
      <t>宁波杭州湾新区智慧宜居区块</t>
    </r>
    <r>
      <rPr>
        <sz val="11"/>
        <color theme="1"/>
        <rFont val="Arial"/>
        <family val="2"/>
      </rPr>
      <t>6#</t>
    </r>
    <r>
      <rPr>
        <sz val="11"/>
        <color theme="1"/>
        <rFont val="等线"/>
        <family val="2"/>
      </rPr>
      <t>地块</t>
    </r>
    <phoneticPr fontId="5" type="noConversion"/>
  </si>
  <si>
    <t>碧桂园竟得，碧创智慧城（原海上传奇）</t>
    <phoneticPr fontId="5" type="noConversion"/>
  </si>
  <si>
    <t>https://nb.newhouse.fang.com/loupan/2011123052/dongtai/</t>
    <phoneticPr fontId="5" type="noConversion"/>
  </si>
  <si>
    <r>
      <rPr>
        <sz val="11"/>
        <color theme="1"/>
        <rFont val="等线"/>
        <family val="2"/>
      </rPr>
      <t>慈溪新潮塘</t>
    </r>
    <r>
      <rPr>
        <sz val="11"/>
        <color theme="1"/>
        <rFont val="Arial"/>
        <family val="2"/>
      </rPr>
      <t>1#</t>
    </r>
    <r>
      <rPr>
        <sz val="11"/>
        <color theme="1"/>
        <rFont val="等线"/>
        <family val="2"/>
      </rPr>
      <t>地块</t>
    </r>
    <phoneticPr fontId="5" type="noConversion"/>
  </si>
  <si>
    <t>檀悦府，售罄</t>
    <phoneticPr fontId="5" type="noConversion"/>
  </si>
  <si>
    <t>https://www.fang.com/xinfang/nb-2011123720/</t>
    <phoneticPr fontId="5" type="noConversion"/>
  </si>
  <si>
    <t>中南滨海壹号，均价14000，在售</t>
    <phoneticPr fontId="5" type="noConversion"/>
  </si>
  <si>
    <t>凤鸣梧桐府，售罄</t>
    <phoneticPr fontId="5" type="noConversion"/>
  </si>
  <si>
    <t>上悦天地，龙湖、海伦堡、中南联合开发，均价13800-16500，在售</t>
    <phoneticPr fontId="5" type="noConversion"/>
  </si>
  <si>
    <t>https://km.newhouse.fang.com/loupan/3410168094/housedetail.htm</t>
    <phoneticPr fontId="5" type="noConversion"/>
  </si>
  <si>
    <t>兰山区</t>
    <phoneticPr fontId="5" type="noConversion"/>
  </si>
  <si>
    <t>中南鲁商樾府，售罄</t>
    <phoneticPr fontId="5" type="noConversion"/>
  </si>
  <si>
    <t>临沂熙悦，售罄</t>
    <phoneticPr fontId="5" type="noConversion"/>
  </si>
  <si>
    <t>绍兴嵊州</t>
    <phoneticPr fontId="5" type="noConversion"/>
  </si>
  <si>
    <t>城南新区</t>
    <phoneticPr fontId="5" type="noConversion"/>
  </si>
  <si>
    <t>绍兴</t>
    <phoneticPr fontId="5" type="noConversion"/>
  </si>
  <si>
    <t>https://sx.newhouse.fang.com/loupan/2015182012/housedetail.htm</t>
    <phoneticPr fontId="5" type="noConversion"/>
  </si>
  <si>
    <t>上悦城，大量在售</t>
    <phoneticPr fontId="5" type="noConversion"/>
  </si>
  <si>
    <t>诸暨市</t>
    <phoneticPr fontId="5" type="noConversion"/>
  </si>
  <si>
    <t>樾府，售罄？</t>
    <phoneticPr fontId="5" type="noConversion"/>
  </si>
  <si>
    <t>中南新悦府，售罄</t>
    <phoneticPr fontId="5" type="noConversion"/>
  </si>
  <si>
    <t>太和县</t>
    <phoneticPr fontId="5" type="noConversion"/>
  </si>
  <si>
    <t>中南永兴昂里湾，售罄</t>
  </si>
  <si>
    <t>余姚市</t>
    <phoneticPr fontId="5" type="noConversion"/>
  </si>
  <si>
    <t>新悦府，售罄</t>
    <phoneticPr fontId="5" type="noConversion"/>
  </si>
  <si>
    <t>铁西区</t>
    <phoneticPr fontId="5" type="noConversion"/>
  </si>
  <si>
    <t>星光玻璃纤维地块</t>
    <phoneticPr fontId="5" type="noConversion"/>
  </si>
  <si>
    <t>https://sy.newhouse.fang.com/loupan/1617155583/housedetail.htm</t>
    <phoneticPr fontId="5" type="noConversion"/>
  </si>
  <si>
    <t>唐山许各寨项目</t>
    <phoneticPr fontId="5" type="noConversion"/>
  </si>
  <si>
    <t>路北区</t>
    <phoneticPr fontId="5" type="noConversion"/>
  </si>
  <si>
    <t>唐山</t>
    <phoneticPr fontId="5" type="noConversion"/>
  </si>
  <si>
    <t>唐山中南上悦城，待售</t>
    <phoneticPr fontId="5" type="noConversion"/>
  </si>
  <si>
    <t>http://ts.house.163.com/21/0401/07/G6FU70F60240987C.html</t>
    <phoneticPr fontId="5" type="noConversion"/>
  </si>
  <si>
    <t>静海区</t>
    <phoneticPr fontId="5" type="noConversion"/>
  </si>
  <si>
    <t>天津团泊海熙府</t>
    <phoneticPr fontId="5" type="noConversion"/>
  </si>
  <si>
    <t>海熙府，毛坯11000，售罄</t>
    <phoneticPr fontId="5" type="noConversion"/>
  </si>
  <si>
    <t>六和茗著，售罄</t>
    <phoneticPr fontId="5" type="noConversion"/>
  </si>
  <si>
    <t>淮安区</t>
    <phoneticPr fontId="5" type="noConversion"/>
  </si>
  <si>
    <t>高明区</t>
    <phoneticPr fontId="5" type="noConversion"/>
  </si>
  <si>
    <t>https://fs.newhouse.fang.com/loupan/2822156778/dongtai/</t>
    <phoneticPr fontId="5" type="noConversion"/>
  </si>
  <si>
    <t>高坪区</t>
    <phoneticPr fontId="5" type="noConversion"/>
  </si>
  <si>
    <t>https://nanchong.newhouse.fang.com/loupan/3220186266.htm</t>
    <phoneticPr fontId="5" type="noConversion"/>
  </si>
  <si>
    <t>济宁樾府</t>
    <phoneticPr fontId="5" type="noConversion"/>
  </si>
  <si>
    <t>https://jining.newhouse.fang.com/loupan/2418171023.htm</t>
    <phoneticPr fontId="5" type="noConversion"/>
  </si>
  <si>
    <t>任城区</t>
    <phoneticPr fontId="5" type="noConversion"/>
  </si>
  <si>
    <r>
      <rPr>
        <sz val="11"/>
        <color theme="1"/>
        <rFont val="宋体"/>
        <family val="3"/>
        <charset val="134"/>
      </rPr>
      <t>中南瑞马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樾府，售罄</t>
    </r>
    <phoneticPr fontId="5" type="noConversion"/>
  </si>
  <si>
    <t>武陵区</t>
    <phoneticPr fontId="5" type="noConversion"/>
  </si>
  <si>
    <t>https://changde.newhouse.fang.com/loupan/2716170650/housedetail.htm</t>
    <phoneticPr fontId="5" type="noConversion"/>
  </si>
  <si>
    <t>环翠区</t>
    <phoneticPr fontId="5" type="noConversion"/>
  </si>
  <si>
    <t>https://weihai.newhouse.fang.com/loupan/2417163031/housedetail.htm</t>
    <phoneticPr fontId="5" type="noConversion"/>
  </si>
  <si>
    <t>熙悦，平均12600，在售</t>
    <phoneticPr fontId="5" type="noConversion"/>
  </si>
  <si>
    <t>新悦府</t>
    <phoneticPr fontId="5" type="noConversion"/>
  </si>
  <si>
    <t>https://meishan.newhouse.fang.com/loupan/3227185840/housedetail.htm</t>
    <phoneticPr fontId="5" type="noConversion"/>
  </si>
  <si>
    <t>https://meizhou.newhouse.fang.com/loupan/2816118274/housedetail.htm</t>
    <phoneticPr fontId="5" type="noConversion"/>
  </si>
  <si>
    <t>中南雅居乐峰会，待售</t>
    <phoneticPr fontId="5" type="noConversion"/>
  </si>
  <si>
    <t>台州</t>
    <phoneticPr fontId="5" type="noConversion"/>
  </si>
  <si>
    <t>https://tz.newhouse.fang.com/loupan/2019201108/housedetail.htm</t>
    <phoneticPr fontId="5" type="noConversion"/>
  </si>
  <si>
    <t>安徽淮南漫悦湾</t>
    <phoneticPr fontId="5" type="noConversion"/>
  </si>
  <si>
    <r>
      <rPr>
        <sz val="11"/>
        <color theme="1"/>
        <rFont val="宋体"/>
        <family val="3"/>
        <charset val="134"/>
      </rPr>
      <t>淮南漫悦湾，毛坯</t>
    </r>
    <r>
      <rPr>
        <sz val="11"/>
        <color theme="1"/>
        <rFont val="Arial"/>
        <family val="2"/>
      </rPr>
      <t>7000</t>
    </r>
    <r>
      <rPr>
        <sz val="11"/>
        <color theme="1"/>
        <rFont val="宋体"/>
        <family val="3"/>
        <charset val="134"/>
      </rPr>
      <t>，在售</t>
    </r>
    <phoneticPr fontId="5" type="noConversion"/>
  </si>
  <si>
    <t>https://hf.newhouse.fang.com/loupan/2110177794/dongtai/</t>
    <phoneticPr fontId="5" type="noConversion"/>
  </si>
  <si>
    <t>春风江南，售罄</t>
    <phoneticPr fontId="5" type="noConversion"/>
  </si>
  <si>
    <t>淮安珑悦花苑，售罄</t>
    <phoneticPr fontId="5" type="noConversion"/>
  </si>
  <si>
    <t>长乐区</t>
    <phoneticPr fontId="5" type="noConversion"/>
  </si>
  <si>
    <t>https://fz.newhouse.fang.com/loupan/2211151688/housedetail.htm</t>
    <phoneticPr fontId="5" type="noConversion"/>
  </si>
  <si>
    <t>中南樾府，毛坯，待售</t>
    <phoneticPr fontId="5" type="noConversion"/>
  </si>
  <si>
    <t>沈阳时代包装地块</t>
    <phoneticPr fontId="5" type="noConversion"/>
  </si>
  <si>
    <t>紫云集，售罄</t>
    <phoneticPr fontId="5" type="noConversion"/>
  </si>
  <si>
    <t>邹城市</t>
    <phoneticPr fontId="5" type="noConversion"/>
  </si>
  <si>
    <t>https://jining.newhouse.fang.com/loupan/2418171021/housedetail.htm</t>
    <phoneticPr fontId="5" type="noConversion"/>
  </si>
  <si>
    <t>檀月墅，大量在售？</t>
    <phoneticPr fontId="5" type="noConversion"/>
  </si>
  <si>
    <t>淄博樾府</t>
    <phoneticPr fontId="5" type="noConversion"/>
  </si>
  <si>
    <t>https://zb.newhouse.fang.com/loupan/2412175773.htm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</si>
  <si>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樾府，毛坯9260，在售？</t>
    </r>
    <phoneticPr fontId="5" type="noConversion"/>
  </si>
  <si>
    <t>张店区</t>
    <phoneticPr fontId="5" type="noConversion"/>
  </si>
  <si>
    <t>https://zb.newhouse.fang.com/loupan/2412175869/housedetail.htm</t>
    <phoneticPr fontId="5" type="noConversion"/>
  </si>
  <si>
    <t>中南春风里，2020年4月底首开，均价20535，售罄</t>
    <phoneticPr fontId="5" type="noConversion"/>
  </si>
  <si>
    <t>港龙中南翰林首府，2019年8月开盘，均价11000-12500，售罄</t>
    <phoneticPr fontId="5" type="noConversion"/>
  </si>
  <si>
    <t>中南紫云花苑，2019年12月开盘，均价12700-14500，在售</t>
    <phoneticPr fontId="5" type="noConversion"/>
  </si>
  <si>
    <t>柳岸春风，2020年1月18日开盘，小高层均价20000，叠墅均价30000，在售</t>
    <phoneticPr fontId="5" type="noConversion"/>
  </si>
  <si>
    <t>春溪集，2020年2月9日开盘，均价15000-17800，售罄</t>
    <phoneticPr fontId="5" type="noConversion"/>
  </si>
  <si>
    <t>海门沁园，2020年1月18日开盘，均价20500，售罄</t>
    <phoneticPr fontId="5" type="noConversion"/>
  </si>
  <si>
    <t>如东晨园，2019年11月2日开盘，毛坯均价13000，售罄</t>
    <phoneticPr fontId="5" type="noConversion"/>
  </si>
  <si>
    <t>如东熙悦，2020年4月首开，公共部分带装修，均价14000，在售</t>
    <phoneticPr fontId="5" type="noConversion"/>
  </si>
  <si>
    <t>中南·湖光映月，2019年11月24日开盘，价格12000-16800，售罄</t>
    <phoneticPr fontId="5" type="noConversion"/>
  </si>
  <si>
    <t>春江明月苑商业，2020年5月28日开盘，均价19000，在售</t>
    <phoneticPr fontId="5" type="noConversion"/>
  </si>
  <si>
    <t>https://nt.focus.cn/loupan/110132969/dongtai/</t>
  </si>
  <si>
    <t>翰林首府桃源里，2020年04月29日开盘，均价12700，在售</t>
    <phoneticPr fontId="5" type="noConversion"/>
  </si>
  <si>
    <t>中南印象，离中南集团很近，20年8月1日首开，均价9799，所剩不多</t>
    <phoneticPr fontId="5" type="noConversion"/>
  </si>
  <si>
    <t>中南印象，所剩不多</t>
    <phoneticPr fontId="5" type="noConversion"/>
  </si>
  <si>
    <t>中南大唐阅湖，20年8月31日开盘，精装均价1.2万，在售</t>
    <phoneticPr fontId="5" type="noConversion"/>
  </si>
  <si>
    <t>世纪之光，20年10月25日开盘，高层毛坯1.275万，洋房毛坯1.475万，二期少量在售，三期待开</t>
    <phoneticPr fontId="5" type="noConversion"/>
  </si>
  <si>
    <t>中南世纪云辰，中南、大唐、神辉、军山联手打造，旁边的世纪之光，2020年12月26日开盘，均价14000-15000，在售</t>
    <phoneticPr fontId="5" type="noConversion"/>
  </si>
  <si>
    <t>东时区，2020年11月开盘，毛坯均价15800，一起在售</t>
    <phoneticPr fontId="5" type="noConversion"/>
  </si>
  <si>
    <t>https://haimen.newhouse.fang.com/loupan/1840176622/housedetail.htm</t>
    <phoneticPr fontId="5" type="noConversion"/>
  </si>
  <si>
    <t>龙信骏园，江苏龙信竟得，2020年11月22日开盘，高层均价2.08万，洋房2.3万，精装交付，二期在售</t>
    <phoneticPr fontId="5" type="noConversion"/>
  </si>
  <si>
    <t>https://nt.newhouse.fang.com/loupan/1818149256/housedetail.htm</t>
    <phoneticPr fontId="5" type="noConversion"/>
  </si>
  <si>
    <t>江海云辰，中南&amp;海润联合开发，预计21年6月开盘</t>
    <phoneticPr fontId="5" type="noConversion"/>
  </si>
  <si>
    <t>春风里，周边配套齐全，待开</t>
    <phoneticPr fontId="5" type="noConversion"/>
  </si>
  <si>
    <t>与龙信及大唐合作开发，周边均价2万+，青藤花园，待开</t>
    <phoneticPr fontId="5" type="noConversion"/>
  </si>
  <si>
    <t>https://nt.newhouse.fang.com/loupan/1818149254/housedetail.htm</t>
    <phoneticPr fontId="5" type="noConversion"/>
  </si>
  <si>
    <t>https://nt.newhouse.fang.com/loupan/1818149220/housedetail.htm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</si>
  <si>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宸悦，学校医院配套齐全，毛坯均价1.1万</t>
    </r>
    <phoneticPr fontId="5" type="noConversion"/>
  </si>
  <si>
    <t>中南珑悦，毛坯均价7500，售罄？</t>
    <phoneticPr fontId="5" type="noConversion"/>
  </si>
  <si>
    <t>中南樾府，2019年12月19日首开，均价16000，售罄</t>
    <phoneticPr fontId="5" type="noConversion"/>
  </si>
  <si>
    <t>中南樾府，2019年12月19日首期开盘，毛坯16000，售罄</t>
    <phoneticPr fontId="5" type="noConversion"/>
  </si>
  <si>
    <t>中南滨江铭悦，2019年6月26日开盘，毛坯均价10500，售罄</t>
    <phoneticPr fontId="5" type="noConversion"/>
  </si>
  <si>
    <t>中南·春风南岸，2019年12月28日开盘，毛坯均价8900，在售</t>
    <phoneticPr fontId="5" type="noConversion"/>
  </si>
  <si>
    <t>中南林间漫，2020年3月开盘，均价13910，在售</t>
    <phoneticPr fontId="5" type="noConversion"/>
  </si>
  <si>
    <t>中南棠玥湾，2019年12月中旬首开，精装均价40400，售罄</t>
    <phoneticPr fontId="5" type="noConversion"/>
  </si>
  <si>
    <t>中南·君启，2019年11月28日开盘，销售均价18850，在售</t>
    <phoneticPr fontId="5" type="noConversion"/>
  </si>
  <si>
    <t>中南·樾府，2019年11月24日开盘，毛坯销售均价23000~28000，在售</t>
    <phoneticPr fontId="5" type="noConversion"/>
  </si>
  <si>
    <t>中南·上悦诗苑，2019年8月份首开，均价12000，一期售罄，二期在售</t>
    <phoneticPr fontId="5" type="noConversion"/>
  </si>
  <si>
    <t>中南·水利·碧桂园 珺悦，2019-12-29开盘，均价9700，在售</t>
    <phoneticPr fontId="5" type="noConversion"/>
  </si>
  <si>
    <t>中南林樾，2019.11.29开盘，高层1.68万，洋房2.18万，叠拼3万，在售</t>
    <phoneticPr fontId="5" type="noConversion"/>
  </si>
  <si>
    <t>中南紫云集，2019-09-28首开，毛坯7800，一期在售</t>
    <phoneticPr fontId="5" type="noConversion"/>
  </si>
  <si>
    <t>淮安珺悦花苑，2019-12-28开盘，毛坯8500，精装9500，住宅售罄</t>
    <phoneticPr fontId="5" type="noConversion"/>
  </si>
  <si>
    <t>中南·上悦诗苑，一期售罄，二期在售</t>
    <phoneticPr fontId="5" type="noConversion"/>
  </si>
  <si>
    <t>聆江阁，2019年12月份首开，均价12000，在售</t>
    <phoneticPr fontId="5" type="noConversion"/>
  </si>
  <si>
    <t>中南环球·春风南岸，2019年11月30日首开，均价11000，在售</t>
    <phoneticPr fontId="5" type="noConversion"/>
  </si>
  <si>
    <t>https://qd.newhouse.fang.com/loupan/2411123533/housedetail.htm</t>
    <phoneticPr fontId="5" type="noConversion"/>
  </si>
  <si>
    <r>
      <rPr>
        <sz val="11"/>
        <color theme="1"/>
        <rFont val="宋体"/>
        <family val="3"/>
        <charset val="134"/>
      </rPr>
      <t>中南紫云集，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月开盘，均价</t>
    </r>
    <r>
      <rPr>
        <sz val="11"/>
        <color theme="1"/>
        <rFont val="Arial"/>
        <family val="2"/>
      </rPr>
      <t>13000</t>
    </r>
    <phoneticPr fontId="5" type="noConversion"/>
  </si>
  <si>
    <t>https://nanjing.newhouse.fang.com/loupan/1810178250/housedetail.htm</t>
    <phoneticPr fontId="5" type="noConversion"/>
  </si>
  <si>
    <t>中南上悦花苑，19年3月开盘，销售均价26000，在售</t>
    <phoneticPr fontId="5" type="noConversion"/>
  </si>
  <si>
    <t>中南春溪集，2020年5月中下旬首开，均价33000，售罄</t>
    <phoneticPr fontId="5" type="noConversion"/>
  </si>
  <si>
    <t>中南·青樾，均价13000，售罄</t>
    <phoneticPr fontId="5" type="noConversion"/>
  </si>
  <si>
    <t>中南樾府，清水价格12676-24308元/平，近一半待售</t>
    <phoneticPr fontId="5" type="noConversion"/>
  </si>
  <si>
    <t>中南融创玖华台，建面20万㎡，容积率5，价格在16540-25590元/㎡，共9栋，还有7栋未开</t>
    <phoneticPr fontId="5" type="noConversion"/>
  </si>
  <si>
    <t>中南熙悦，毛坯14800，去化不好？共9栋，还有5栋未开，已开还有在售的</t>
    <phoneticPr fontId="5" type="noConversion"/>
  </si>
  <si>
    <t>中南林樾香庭，均价25000-28500，共24栋，还有13栋未开，二期在售</t>
    <phoneticPr fontId="5" type="noConversion"/>
  </si>
  <si>
    <t>常熟</t>
    <phoneticPr fontId="5" type="noConversion"/>
  </si>
  <si>
    <t>同常熟中南林樾香庭</t>
    <phoneticPr fontId="5" type="noConversion"/>
  </si>
  <si>
    <t>中南君悦府·熙悦，毛坯均价11000，共55栋，44栋已开，二期大量在售</t>
    <phoneticPr fontId="5" type="noConversion"/>
  </si>
  <si>
    <t>中南上熙府熙悦，均价17000，共35栋，26栋已售，9栋待开</t>
    <phoneticPr fontId="5" type="noConversion"/>
  </si>
  <si>
    <t>中南旭辉·和樾，均价12000到16500，共37栋，12栋已开，已开在售，去化不好</t>
    <phoneticPr fontId="5" type="noConversion"/>
  </si>
  <si>
    <t>中南碧桂园樾府，精装13500，共20栋，9栋售完，2栋在售，9栋待开</t>
    <phoneticPr fontId="5" type="noConversion"/>
  </si>
  <si>
    <t>东至白沙河，南至双羊街，西至东三环，北至规划路</t>
    <phoneticPr fontId="5" type="noConversion"/>
  </si>
  <si>
    <t>中南·云境，板式住宅均价17000-20000，公寓9500-11500，共12栋，已开2栋在售，18年9月开盘</t>
    <phoneticPr fontId="5" type="noConversion"/>
  </si>
  <si>
    <t>宿州碧桂园中南·双玺，毛坯7200，售罄？</t>
    <phoneticPr fontId="5" type="noConversion"/>
  </si>
  <si>
    <t>常熟市</t>
  </si>
  <si>
    <t>榆林</t>
  </si>
  <si>
    <t>规划建筑面积（万㎡）</t>
    <phoneticPr fontId="5" type="noConversion"/>
  </si>
  <si>
    <t>https://www.fang.com/xinfang/huaian-1826201812/</t>
    <phoneticPr fontId="5" type="noConversion"/>
  </si>
  <si>
    <t>安良地块</t>
    <phoneticPr fontId="5" type="noConversion"/>
  </si>
  <si>
    <t>古里镇2021B-002地块</t>
    <phoneticPr fontId="5" type="noConversion"/>
  </si>
  <si>
    <t>安良房开公司转让80%股权给恒通建设，案名：天瑞府，2020年底开盘，毛坯均价8500</t>
    <phoneticPr fontId="5" type="noConversion"/>
  </si>
  <si>
    <t>2021年1月14日赤峰中天竟得，旁边1.5公里处有古里中学，旁边铁琴公园二手价1.2万</t>
    <phoneticPr fontId="5" type="noConversion"/>
  </si>
  <si>
    <t>阜国用2014第001191/001192号地块</t>
    <phoneticPr fontId="5" type="noConversion"/>
  </si>
  <si>
    <t>阜宁县</t>
    <phoneticPr fontId="5" type="noConversion"/>
  </si>
  <si>
    <t>FG-2020-43、FG-2020-44号地块</t>
    <phoneticPr fontId="5" type="noConversion"/>
  </si>
  <si>
    <t>府谷县</t>
    <phoneticPr fontId="5" type="noConversion"/>
  </si>
  <si>
    <t>古树茶小镇一期（LC2018-57号）地块</t>
    <phoneticPr fontId="5" type="noConversion"/>
  </si>
  <si>
    <t>中南天樾，2020年4月已开盘，毛坯均价11700，售罄</t>
    <phoneticPr fontId="5" type="noConversion"/>
  </si>
  <si>
    <t>中南天樾，紧邻晋江实验中学、宝龙城市广场，毛坯限价，销售均价1.16万，售罄</t>
    <phoneticPr fontId="5" type="noConversion"/>
  </si>
  <si>
    <t>南京雨花台</t>
    <phoneticPr fontId="5" type="noConversion"/>
  </si>
  <si>
    <t>南京江宁</t>
    <phoneticPr fontId="5" type="noConversion"/>
  </si>
  <si>
    <t>如皋市</t>
  </si>
  <si>
    <t>湖州</t>
  </si>
  <si>
    <t>芜湖</t>
  </si>
  <si>
    <t>鸠江区</t>
  </si>
  <si>
    <t>黄岛区</t>
  </si>
  <si>
    <t>淄博</t>
  </si>
  <si>
    <t>桓台县</t>
  </si>
  <si>
    <t>睢阳区</t>
  </si>
  <si>
    <t>顺庆区</t>
  </si>
  <si>
    <t>HD2021-3043地块</t>
  </si>
  <si>
    <t>P2020-13号地块</t>
    <phoneticPr fontId="5" type="noConversion"/>
  </si>
  <si>
    <t>燕儿窝片区市消防支队南侧地块</t>
    <phoneticPr fontId="5" type="noConversion"/>
  </si>
  <si>
    <t>中南&amp;中梁联合体摘得，周边滨江学府毛坯9000</t>
    <phoneticPr fontId="5" type="noConversion"/>
  </si>
  <si>
    <t>燕儿窝片区原南充石达化工A-05-01/A-05-02号地块</t>
    <phoneticPr fontId="5" type="noConversion"/>
  </si>
  <si>
    <t>住宅毛坯限价15109元/㎡，跑量</t>
    <phoneticPr fontId="5" type="noConversion"/>
  </si>
  <si>
    <t>2020-27地块</t>
    <phoneticPr fontId="5" type="noConversion"/>
  </si>
  <si>
    <t>旁边商丘碧桂园城央学府二期均价8500</t>
    <phoneticPr fontId="5" type="noConversion"/>
  </si>
  <si>
    <t>2020（增量）—006号地块</t>
    <phoneticPr fontId="5" type="noConversion"/>
  </si>
  <si>
    <t>https://www.fang.com/xinfang/zb-2412176909/</t>
    <phoneticPr fontId="5" type="noConversion"/>
  </si>
  <si>
    <t>2020年4月29日上海中南金石竟得，中南拟5117万向控股股东收购淄博创智花园项目51%股权，中南高科·创智花园，旁边碧桂园中房·天玺精装9000</t>
    <phoneticPr fontId="5" type="noConversion"/>
  </si>
  <si>
    <t>HD2021-3042地块</t>
    <phoneticPr fontId="5" type="noConversion"/>
  </si>
  <si>
    <t>中南&amp;陇海竟得，旁边保利源诚领秀山，精装11500</t>
    <phoneticPr fontId="5" type="noConversion"/>
  </si>
  <si>
    <t>中南&amp;陇海竟得，旁边和达海映山毛坯23000？</t>
    <phoneticPr fontId="5" type="noConversion"/>
  </si>
  <si>
    <t>2021-13-1、2021-13-2地块</t>
    <phoneticPr fontId="5" type="noConversion"/>
  </si>
  <si>
    <t>高新技术产业开发区</t>
    <phoneticPr fontId="5" type="noConversion"/>
  </si>
  <si>
    <t>秦汉新城XXQH-ZL05-40地块</t>
    <phoneticPr fontId="5" type="noConversion"/>
  </si>
  <si>
    <t>西安</t>
    <phoneticPr fontId="5" type="noConversion"/>
  </si>
  <si>
    <t>旭辉竟得，旁边日月公馆11000</t>
    <phoneticPr fontId="5" type="noConversion"/>
  </si>
  <si>
    <t>国土2108地块</t>
    <phoneticPr fontId="5" type="noConversion"/>
  </si>
  <si>
    <t>合肥荣茂竟得，旁边高速东方御府毛坯8900</t>
    <phoneticPr fontId="5" type="noConversion"/>
  </si>
  <si>
    <t>竹贸城地块</t>
    <phoneticPr fontId="5" type="noConversion"/>
  </si>
  <si>
    <t>R2020097地块</t>
    <phoneticPr fontId="5" type="noConversion"/>
  </si>
  <si>
    <t>2020年10月20日南通港轩竟得，溢价率77.14%。旁边如皋上悦城精装9800</t>
    <phoneticPr fontId="5" type="noConversion"/>
  </si>
  <si>
    <t>张地2012-B33-A</t>
    <phoneticPr fontId="5" type="noConversion"/>
  </si>
  <si>
    <t xml:space="preserve">2020年5月22日金厦房产竟得，旁边张家港塘桥碧桂园二手价12845 </t>
    <phoneticPr fontId="5" type="noConversion"/>
  </si>
  <si>
    <t>安吉县</t>
    <phoneticPr fontId="5" type="noConversion"/>
  </si>
  <si>
    <t>旁边的绿城柳岸晓风毛坯11000？</t>
    <phoneticPr fontId="5" type="noConversion"/>
  </si>
  <si>
    <t>咸阳</t>
    <phoneticPr fontId="5" type="noConversion"/>
  </si>
  <si>
    <t>未查到该地块信息，旁边均价9000+？</t>
    <phoneticPr fontId="5" type="noConversion"/>
  </si>
  <si>
    <t>楼面280元，新盘均价8000。华侨城，安缦在附近，不计入土储</t>
    <phoneticPr fontId="5" type="noConversion"/>
  </si>
  <si>
    <t>西咸新区</t>
    <phoneticPr fontId="5" type="noConversion"/>
  </si>
  <si>
    <t>位置</t>
  </si>
  <si>
    <t>太仓市</t>
  </si>
  <si>
    <t>南雷南路东侧、黄山东路北侧地块</t>
  </si>
  <si>
    <t>余姚市</t>
  </si>
  <si>
    <t>温州</t>
  </si>
  <si>
    <t>瓯海区</t>
  </si>
  <si>
    <t>三河厂项目地块</t>
  </si>
  <si>
    <t>新都区</t>
  </si>
  <si>
    <t>顺德区</t>
  </si>
  <si>
    <t>天水</t>
  </si>
  <si>
    <t>秦州区</t>
  </si>
  <si>
    <t>版纳告庄项目地块</t>
  </si>
  <si>
    <t>景洪市</t>
  </si>
  <si>
    <t>楼面价</t>
    <phoneticPr fontId="5" type="noConversion"/>
  </si>
  <si>
    <t>公司权益比例</t>
  </si>
  <si>
    <t>规划建筑面积（万M2）</t>
  </si>
  <si>
    <t>2021-WG-18-1地块</t>
  </si>
  <si>
    <t>2021-WG-18-2地块</t>
  </si>
  <si>
    <t>R2021028地块</t>
  </si>
  <si>
    <t>三溪片区瓯海中心南单元F-01地块</t>
  </si>
  <si>
    <t>旧城A-23b地块</t>
  </si>
  <si>
    <t>2021-22地块</t>
  </si>
  <si>
    <t>TD2021（SD）WG0018地块</t>
  </si>
  <si>
    <t>2021-20号宗地</t>
  </si>
  <si>
    <t>占地面积（万M2）</t>
  </si>
  <si>
    <t>西双版纳</t>
  </si>
  <si>
    <t>三溪片区瓯海中心南单元F-01地块</t>
    <phoneticPr fontId="5" type="noConversion"/>
  </si>
  <si>
    <t>TD2021（SD）WG0018地块</t>
    <phoneticPr fontId="5" type="noConversion"/>
  </si>
  <si>
    <t>建发竟得，不远处翰林九境为建发、大发、中南合作开发，旁边大发凯旋门二手价27390</t>
    <phoneticPr fontId="5" type="noConversion"/>
  </si>
  <si>
    <t>https://wz.newhouse.fang.com/loupan/2012203530.htm</t>
    <phoneticPr fontId="5" type="noConversion"/>
  </si>
  <si>
    <t>https://fs.newhouse.fang.com/loupan/2822157504.htm</t>
    <phoneticPr fontId="5" type="noConversion"/>
  </si>
  <si>
    <t>金地竟得，旁边中建顺控·云熙悦城精装均价16300</t>
    <phoneticPr fontId="5" type="noConversion"/>
  </si>
  <si>
    <t>2021-20号宗地</t>
    <phoneticPr fontId="5" type="noConversion"/>
  </si>
  <si>
    <t>秦州区</t>
    <phoneticPr fontId="5" type="noConversion"/>
  </si>
  <si>
    <t>甘肃秦地竟得，地理位置不错，旁边没有什么知名品牌楼盘？旁边御园·桃李春风毛坯均价11000？</t>
    <phoneticPr fontId="5" type="noConversion"/>
  </si>
  <si>
    <t>https://tianshui.newhouse.fang.com/loupan/3713190684/housedetail.htm</t>
    <phoneticPr fontId="5" type="noConversion"/>
  </si>
  <si>
    <t>南雷南路东侧、黄山东路北侧地块</t>
    <phoneticPr fontId="5" type="noConversion"/>
  </si>
  <si>
    <t>https://nb.newhouse.fang.com/loupan/2011123570/housedetail.htm</t>
    <phoneticPr fontId="5" type="noConversion"/>
  </si>
  <si>
    <t>宁波市鄞州尚翔企业管理咨询有限公司竟得，旁边绿地悦山府毛坯均价16500？</t>
    <phoneticPr fontId="5" type="noConversion"/>
  </si>
  <si>
    <t>旧城A-23b地块</t>
    <phoneticPr fontId="5" type="noConversion"/>
  </si>
  <si>
    <t>保利竟得，案名保利·中南大境堂悦？不清楚开盘价会是多少？</t>
    <phoneticPr fontId="5" type="noConversion"/>
  </si>
  <si>
    <t>2021-22地块</t>
    <phoneticPr fontId="5" type="noConversion"/>
  </si>
  <si>
    <t>https://wz.newhouse.fang.com/loupan/2012203532/dongtai/</t>
    <phoneticPr fontId="5" type="noConversion"/>
  </si>
  <si>
    <t>https://shangqiu.newhouse.fang.com/loupan/2523200101/housedetail.htm</t>
    <phoneticPr fontId="5" type="noConversion"/>
  </si>
  <si>
    <t>绿地竟得，绿地中南漫悦湾3期？旁边2期精装7000？</t>
    <phoneticPr fontId="5" type="noConversion"/>
  </si>
  <si>
    <t>R2021028地块</t>
    <phoneticPr fontId="5" type="noConversion"/>
  </si>
  <si>
    <t>中南竟得，溢价率15.28%，新房限价10393，旁边港城长江府均价9000</t>
    <phoneticPr fontId="5" type="noConversion"/>
  </si>
  <si>
    <t>https://nt.newhouse.fang.com/loupan/1818148614/housedetail.htm</t>
    <phoneticPr fontId="5" type="noConversion"/>
  </si>
  <si>
    <t>2021-WG-18-1地块</t>
    <phoneticPr fontId="5" type="noConversion"/>
  </si>
  <si>
    <t>昆山象泽竟得，溢价率15%，旁边二手房均价1.2万+</t>
    <phoneticPr fontId="5" type="noConversion"/>
  </si>
  <si>
    <t>上海象屿竟得，溢价率14.86%，旁边二手房均价1.2万+</t>
    <phoneticPr fontId="5" type="noConversion"/>
  </si>
  <si>
    <t>版纳告庄项目地块</t>
    <phoneticPr fontId="5" type="noConversion"/>
  </si>
  <si>
    <t>周边均价7800-13000不等</t>
    <phoneticPr fontId="5" type="noConversion"/>
  </si>
  <si>
    <t>https://xishuangbanna.newhouse.fang.com/loupan/3422195340.htm</t>
    <phoneticPr fontId="5" type="noConversion"/>
  </si>
  <si>
    <t>三河厂项目地块</t>
    <phoneticPr fontId="5" type="noConversion"/>
  </si>
  <si>
    <t>收购成都平大机械有限公司51%股权，旁边均价1万+？</t>
    <phoneticPr fontId="5" type="noConversion"/>
  </si>
  <si>
    <t>https://cd.esf.fang.com/loupan/3210995438.htm</t>
    <phoneticPr fontId="5" type="noConversion"/>
  </si>
  <si>
    <r>
      <rPr>
        <sz val="11"/>
        <color theme="1"/>
        <rFont val="宋体"/>
        <family val="3"/>
        <charset val="134"/>
      </rPr>
      <t>温州开发区，金科中南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未来都会，</t>
    </r>
    <r>
      <rPr>
        <sz val="11"/>
        <color theme="1"/>
        <rFont val="Arial"/>
        <family val="2"/>
      </rP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月拿地，楼面价</t>
    </r>
    <r>
      <rPr>
        <sz val="11"/>
        <color theme="1"/>
        <rFont val="Arial"/>
        <family val="2"/>
      </rPr>
      <t>4226</t>
    </r>
    <r>
      <rPr>
        <sz val="11"/>
        <color theme="1"/>
        <rFont val="宋体"/>
        <family val="3"/>
        <charset val="134"/>
      </rPr>
      <t>，权益比</t>
    </r>
    <r>
      <rPr>
        <sz val="11"/>
        <color theme="1"/>
        <rFont val="Arial"/>
        <family val="2"/>
      </rPr>
      <t>51%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2020-09-20</t>
    </r>
    <r>
      <rPr>
        <sz val="11"/>
        <color theme="1"/>
        <rFont val="宋体"/>
        <family val="3"/>
        <charset val="134"/>
      </rPr>
      <t>开盘，毛坯均价</t>
    </r>
    <r>
      <rPr>
        <sz val="11"/>
        <color theme="1"/>
        <rFont val="Arial"/>
        <family val="2"/>
      </rPr>
      <t>12650</t>
    </r>
    <r>
      <rPr>
        <sz val="11"/>
        <color theme="1"/>
        <rFont val="宋体"/>
        <family val="3"/>
        <charset val="134"/>
      </rPr>
      <t>，目前毛坯均价</t>
    </r>
    <r>
      <rPr>
        <sz val="11"/>
        <color theme="1"/>
        <rFont val="Arial"/>
        <family val="2"/>
      </rPr>
      <t>11600</t>
    </r>
    <phoneticPr fontId="5" type="noConversion"/>
  </si>
  <si>
    <t>绍兴柯桥区，宝龙竟得，宝龙金科杭越府，2020年4月拿地，楼面价4197，权益比25%，毛坯均价1.08万，目前均价12000</t>
    <phoneticPr fontId="5" type="noConversion"/>
  </si>
  <si>
    <t>重庆巴南区金科泊云府，19年6月拿地，楼面价3139，权益比30%，2019年12月16日开盘，毛坯均价11400-13600</t>
    <phoneticPr fontId="5" type="noConversion"/>
  </si>
  <si>
    <r>
      <rPr>
        <sz val="11"/>
        <color theme="1"/>
        <rFont val="宋体"/>
        <family val="3"/>
        <charset val="134"/>
      </rPr>
      <t>沈阳铁西区金科中南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集美尚景，18年4月拿地，楼面价4905，权益比49%，均价8000-11000，在售</t>
    </r>
    <phoneticPr fontId="5" type="noConversion"/>
  </si>
  <si>
    <t>蓝光拿地，与中南合作开发。旁边万科烟台莱山区书城项目1.5万，2021年7月16日公告蓝光因债务危机，中南收购了该项目蓝光所占的股权</t>
    <phoneticPr fontId="5" type="noConversion"/>
  </si>
  <si>
    <t>元垄中南华著，还剩一半待售，精装23000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</si>
  <si>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樾府，售罄？即将清盘</t>
    </r>
    <phoneticPr fontId="5" type="noConversion"/>
  </si>
  <si>
    <t>中南玖宸，售罄？少量公寓在售</t>
    <phoneticPr fontId="5" type="noConversion"/>
  </si>
  <si>
    <t>佛山高明西江</t>
    <phoneticPr fontId="5" type="noConversion"/>
  </si>
  <si>
    <r>
      <rPr>
        <sz val="11"/>
        <color rgb="FFFF0000"/>
        <rFont val="等线"/>
        <family val="2"/>
      </rPr>
      <t>贵阳</t>
    </r>
  </si>
  <si>
    <r>
      <rPr>
        <sz val="11"/>
        <color rgb="FFFF0000"/>
        <rFont val="等线"/>
        <family val="2"/>
      </rPr>
      <t>双龙航空港经济区</t>
    </r>
  </si>
  <si>
    <r>
      <rPr>
        <sz val="11"/>
        <color rgb="FFFF0000"/>
        <rFont val="等线"/>
        <family val="2"/>
      </rPr>
      <t>贵阳</t>
    </r>
    <r>
      <rPr>
        <sz val="11"/>
        <color rgb="FFFF0000"/>
        <rFont val="Arial"/>
        <family val="2"/>
      </rPr>
      <t>SL(18)017</t>
    </r>
    <r>
      <rPr>
        <sz val="11"/>
        <color rgb="FFFF0000"/>
        <rFont val="等线"/>
        <family val="2"/>
      </rPr>
      <t>地块</t>
    </r>
    <phoneticPr fontId="5" type="noConversion"/>
  </si>
  <si>
    <r>
      <rPr>
        <sz val="11"/>
        <color rgb="FFFF0000"/>
        <rFont val="宋体"/>
        <family val="3"/>
        <charset val="134"/>
      </rPr>
      <t>中南</t>
    </r>
    <r>
      <rPr>
        <sz val="11"/>
        <color rgb="FFFF0000"/>
        <rFont val="Arial"/>
        <family val="2"/>
      </rPr>
      <t>·</t>
    </r>
    <r>
      <rPr>
        <sz val="11"/>
        <color rgb="FFFF0000"/>
        <rFont val="宋体"/>
        <family val="3"/>
        <charset val="134"/>
      </rPr>
      <t>林樾，去化不好？毛坯均价9700</t>
    </r>
    <phoneticPr fontId="5" type="noConversion"/>
  </si>
  <si>
    <t>中南金玉堂，与新城合作开发，去化不好？毛坯均价6300</t>
    <phoneticPr fontId="5" type="noConversion"/>
  </si>
  <si>
    <r>
      <rPr>
        <sz val="11"/>
        <color rgb="FFFF0000"/>
        <rFont val="等线"/>
        <family val="2"/>
      </rPr>
      <t>许昌</t>
    </r>
  </si>
  <si>
    <r>
      <rPr>
        <sz val="11"/>
        <color rgb="FFFF0000"/>
        <rFont val="等线"/>
        <family val="2"/>
      </rPr>
      <t>魏都区</t>
    </r>
  </si>
  <si>
    <r>
      <rPr>
        <sz val="11"/>
        <color rgb="FFFF0000"/>
        <rFont val="等线"/>
        <family val="2"/>
      </rPr>
      <t>佛山</t>
    </r>
  </si>
  <si>
    <r>
      <rPr>
        <sz val="11"/>
        <color rgb="FFFF0000"/>
        <rFont val="等线"/>
        <family val="2"/>
      </rPr>
      <t>高明区</t>
    </r>
  </si>
  <si>
    <t>翡翠西江，旭辉、雅居乐和中南联合开发，精装均价10500</t>
    <phoneticPr fontId="5" type="noConversion"/>
  </si>
  <si>
    <t>倚山雅筑，在售，精装15500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</si>
  <si>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漫悦湾，均价11000，大量待售，6月27号尾盘在售了，与世贸、卓越合作开发</t>
    </r>
    <phoneticPr fontId="5" type="noConversion"/>
  </si>
  <si>
    <t>台州椒江区章安街道章梓路地块</t>
    <phoneticPr fontId="5" type="noConversion"/>
  </si>
  <si>
    <t>中南布拉格，欧悦城，价格19300-30766，售罄</t>
    <phoneticPr fontId="5" type="noConversion"/>
  </si>
  <si>
    <t>湖悦天境，与碧桂园联合开发，二期在售，均价19000</t>
    <phoneticPr fontId="5" type="noConversion"/>
  </si>
  <si>
    <t>万云府，只剩2栋在售，大平层15000</t>
    <phoneticPr fontId="5" type="noConversion"/>
  </si>
  <si>
    <t>中南江山府，均价10500-17000，在售</t>
    <phoneticPr fontId="5" type="noConversion"/>
  </si>
  <si>
    <t>中南水利中山府，售罄</t>
    <phoneticPr fontId="5" type="noConversion"/>
  </si>
  <si>
    <t>卓越中南·熙悦，在售，毛坯13000</t>
    <phoneticPr fontId="5" type="noConversion"/>
  </si>
  <si>
    <t>中南旭辉樾府，去化不好？毛坯6500</t>
    <phoneticPr fontId="5" type="noConversion"/>
  </si>
  <si>
    <t>世茂中南璀璨云堤，售罄</t>
    <phoneticPr fontId="5" type="noConversion"/>
  </si>
  <si>
    <t>碧桂园竟得，碧创智慧城（原海上传奇），均价12000-12500，在售</t>
    <phoneticPr fontId="5" type="noConversion"/>
  </si>
  <si>
    <t>青樾府，售罄</t>
    <phoneticPr fontId="5" type="noConversion"/>
  </si>
  <si>
    <t>尚熙城，在售，精装8500</t>
    <phoneticPr fontId="5" type="noConversion"/>
  </si>
  <si>
    <r>
      <rPr>
        <sz val="11"/>
        <color rgb="FFFF0000"/>
        <rFont val="等线"/>
        <family val="2"/>
      </rPr>
      <t>亳州</t>
    </r>
  </si>
  <si>
    <r>
      <rPr>
        <sz val="11"/>
        <color rgb="FFFF0000"/>
        <rFont val="等线"/>
        <family val="2"/>
      </rPr>
      <t>安徽亳州利辛县项目</t>
    </r>
  </si>
  <si>
    <t>中南林樾，在售，毛坯8000</t>
    <phoneticPr fontId="5" type="noConversion"/>
  </si>
  <si>
    <r>
      <rPr>
        <sz val="11"/>
        <color theme="1"/>
        <rFont val="宋体"/>
        <family val="3"/>
        <charset val="134"/>
      </rPr>
      <t>紫云集，均价</t>
    </r>
    <r>
      <rPr>
        <sz val="11"/>
        <color theme="1"/>
        <rFont val="Arial"/>
        <family val="2"/>
      </rPr>
      <t>6000</t>
    </r>
    <r>
      <rPr>
        <sz val="11"/>
        <color theme="1"/>
        <rFont val="宋体"/>
        <family val="3"/>
        <charset val="134"/>
      </rPr>
      <t>，售罄</t>
    </r>
    <phoneticPr fontId="5" type="noConversion"/>
  </si>
  <si>
    <t>樾府，毛坯13000，售罄</t>
    <phoneticPr fontId="5" type="noConversion"/>
  </si>
  <si>
    <t>中南菩悦东望城，售罄</t>
    <phoneticPr fontId="5" type="noConversion"/>
  </si>
  <si>
    <t>灌南上悦城，均价6000</t>
    <phoneticPr fontId="5" type="noConversion"/>
  </si>
  <si>
    <r>
      <rPr>
        <sz val="11"/>
        <color theme="1"/>
        <rFont val="宋体"/>
        <family val="3"/>
        <charset val="134"/>
      </rPr>
      <t>龙口熙悦，毛坯</t>
    </r>
    <r>
      <rPr>
        <sz val="11"/>
        <color theme="1"/>
        <rFont val="Arial"/>
        <family val="2"/>
      </rPr>
      <t>6900-8000</t>
    </r>
    <r>
      <rPr>
        <sz val="11"/>
        <color theme="1"/>
        <rFont val="宋体"/>
        <family val="3"/>
        <charset val="134"/>
      </rPr>
      <t>，在售</t>
    </r>
    <phoneticPr fontId="5" type="noConversion"/>
  </si>
  <si>
    <t>紫云集，大量在售？毛坯6200-6888</t>
    <phoneticPr fontId="5" type="noConversion"/>
  </si>
  <si>
    <t>灌南上悦城，在售，均价6000</t>
    <phoneticPr fontId="5" type="noConversion"/>
  </si>
  <si>
    <r>
      <rPr>
        <sz val="11"/>
        <color rgb="FFFF0000"/>
        <rFont val="等线"/>
        <family val="2"/>
      </rPr>
      <t>福州</t>
    </r>
  </si>
  <si>
    <t>和悦铭著，在售，均价9000</t>
    <phoneticPr fontId="5" type="noConversion"/>
  </si>
  <si>
    <r>
      <rPr>
        <sz val="11"/>
        <color theme="1"/>
        <rFont val="宋体"/>
        <family val="3"/>
        <charset val="134"/>
      </rPr>
      <t>中南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樾府，在售，均价6500-7300</t>
    </r>
    <phoneticPr fontId="5" type="noConversion"/>
  </si>
  <si>
    <t>中南新悦府，在售，毛坯8300</t>
    <phoneticPr fontId="5" type="noConversion"/>
  </si>
  <si>
    <t>春溪集，售罄？</t>
    <phoneticPr fontId="5" type="noConversion"/>
  </si>
  <si>
    <t>春江阅，在售，毛坯7500</t>
    <phoneticPr fontId="5" type="noConversion"/>
  </si>
  <si>
    <t>上悦城，大量在售，毛坯均价8800</t>
    <phoneticPr fontId="5" type="noConversion"/>
  </si>
  <si>
    <r>
      <rPr>
        <sz val="11"/>
        <color theme="1"/>
        <rFont val="宋体"/>
        <family val="3"/>
        <charset val="134"/>
      </rPr>
      <t>佛山中南云锦，旁边龙光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碧桂园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悦府售价</t>
    </r>
    <r>
      <rPr>
        <sz val="11"/>
        <color theme="1"/>
        <rFont val="Arial"/>
        <family val="2"/>
      </rPr>
      <t>1.15</t>
    </r>
    <r>
      <rPr>
        <sz val="11"/>
        <color theme="1"/>
        <rFont val="宋体"/>
        <family val="3"/>
        <charset val="134"/>
      </rPr>
      <t>万，待售</t>
    </r>
    <phoneticPr fontId="5" type="noConversion"/>
  </si>
  <si>
    <t>中南春风南岸，旁边龙光玖龙玺2.3万，2021年4月开盘，均价23000-26000</t>
    <phoneticPr fontId="5" type="noConversion"/>
  </si>
  <si>
    <t>中南滨江国际，毛坯8000，在售</t>
    <phoneticPr fontId="5" type="noConversion"/>
  </si>
  <si>
    <t>中南远洋·漫悦湾，精装12500，售罄？</t>
    <phoneticPr fontId="5" type="noConversion"/>
  </si>
  <si>
    <t>佛山高明荷城</t>
    <phoneticPr fontId="5" type="noConversion"/>
  </si>
  <si>
    <t>温州</t>
    <phoneticPr fontId="5" type="noConversion"/>
  </si>
  <si>
    <t>乐清市</t>
    <phoneticPr fontId="5" type="noConversion"/>
  </si>
  <si>
    <t>中心区拆后空间 ZX-18d-2 地块</t>
    <phoneticPr fontId="5" type="noConversion"/>
  </si>
  <si>
    <t>2020年11月25日，嘉兴承茂置业有限公司6.8亿元竞得温州乐清市中心区拆后空间ZX-18d-2地块，楼面价10141元/㎡，溢价率25.93%。旁边宏地新力云澜庭，毛坯1.7万；金溪花园，精装2.3万。</t>
    <phoneticPr fontId="5" type="noConversion"/>
  </si>
  <si>
    <r>
      <rPr>
        <sz val="11"/>
        <color rgb="FFFF0000"/>
        <rFont val="等线"/>
        <family val="2"/>
      </rPr>
      <t>天津</t>
    </r>
  </si>
  <si>
    <r>
      <rPr>
        <sz val="11"/>
        <color rgb="FFFF0000"/>
        <rFont val="等线"/>
        <family val="2"/>
      </rPr>
      <t>静海区</t>
    </r>
  </si>
  <si>
    <r>
      <rPr>
        <sz val="11"/>
        <color rgb="FFFF0000"/>
        <rFont val="等线"/>
        <family val="2"/>
      </rPr>
      <t>天津津静（挂）</t>
    </r>
    <r>
      <rPr>
        <sz val="11"/>
        <color rgb="FFFF0000"/>
        <rFont val="Arial"/>
        <family val="2"/>
      </rPr>
      <t>2017-14</t>
    </r>
    <r>
      <rPr>
        <sz val="11"/>
        <color rgb="FFFF0000"/>
        <rFont val="等线"/>
        <family val="2"/>
      </rPr>
      <t>号</t>
    </r>
  </si>
  <si>
    <r>
      <rPr>
        <sz val="11"/>
        <color rgb="FF7030A0"/>
        <rFont val="等线"/>
        <family val="2"/>
      </rPr>
      <t>西安</t>
    </r>
  </si>
  <si>
    <r>
      <rPr>
        <sz val="11"/>
        <color rgb="FF7030A0"/>
        <rFont val="等线"/>
        <family val="2"/>
      </rPr>
      <t>西安</t>
    </r>
    <r>
      <rPr>
        <sz val="11"/>
        <color rgb="FF7030A0"/>
        <rFont val="Arial"/>
        <family val="2"/>
      </rPr>
      <t>FD2-7-13</t>
    </r>
    <r>
      <rPr>
        <sz val="11"/>
        <color rgb="FF7030A0"/>
        <rFont val="等线"/>
        <family val="2"/>
      </rPr>
      <t>、</t>
    </r>
    <r>
      <rPr>
        <sz val="11"/>
        <color rgb="FF7030A0"/>
        <rFont val="Arial"/>
        <family val="2"/>
      </rPr>
      <t>14</t>
    </r>
    <r>
      <rPr>
        <sz val="11"/>
        <color rgb="FF7030A0"/>
        <rFont val="等线"/>
        <family val="2"/>
      </rPr>
      <t>、</t>
    </r>
    <r>
      <rPr>
        <sz val="11"/>
        <color rgb="FF7030A0"/>
        <rFont val="Arial"/>
        <family val="2"/>
      </rPr>
      <t>15</t>
    </r>
    <r>
      <rPr>
        <sz val="11"/>
        <color rgb="FF7030A0"/>
        <rFont val="等线"/>
        <family val="2"/>
      </rPr>
      <t>地块</t>
    </r>
    <phoneticPr fontId="5" type="noConversion"/>
  </si>
  <si>
    <r>
      <rPr>
        <sz val="11"/>
        <color rgb="FF7030A0"/>
        <rFont val="宋体"/>
        <family val="3"/>
        <charset val="134"/>
      </rPr>
      <t>中南</t>
    </r>
    <r>
      <rPr>
        <sz val="11"/>
        <color rgb="FF7030A0"/>
        <rFont val="Arial"/>
        <family val="2"/>
      </rPr>
      <t>·</t>
    </r>
    <r>
      <rPr>
        <sz val="11"/>
        <color rgb="FF7030A0"/>
        <rFont val="宋体"/>
        <family val="3"/>
        <charset val="134"/>
      </rPr>
      <t>上悦城，目前四期在售，备案价21000</t>
    </r>
    <phoneticPr fontId="5" type="noConversion"/>
  </si>
  <si>
    <t>2017A-002</t>
    <phoneticPr fontId="5" type="noConversion"/>
  </si>
  <si>
    <r>
      <rPr>
        <sz val="11"/>
        <color rgb="FF7030A0"/>
        <rFont val="等线"/>
        <family val="2"/>
      </rPr>
      <t>无锡</t>
    </r>
  </si>
  <si>
    <r>
      <rPr>
        <sz val="11"/>
        <color rgb="FF7030A0"/>
        <rFont val="等线"/>
        <family val="2"/>
      </rPr>
      <t>江阴市</t>
    </r>
  </si>
  <si>
    <r>
      <rPr>
        <sz val="11"/>
        <color rgb="FF7030A0"/>
        <rFont val="等线"/>
        <family val="2"/>
      </rPr>
      <t>云亭</t>
    </r>
    <r>
      <rPr>
        <sz val="11"/>
        <color rgb="FF7030A0"/>
        <rFont val="Arial"/>
        <family val="2"/>
      </rPr>
      <t>2</t>
    </r>
    <r>
      <rPr>
        <sz val="11"/>
        <color rgb="FF7030A0"/>
        <rFont val="等线"/>
        <family val="2"/>
      </rPr>
      <t>号地块</t>
    </r>
  </si>
  <si>
    <t>城南街道张八里村22、23组地段</t>
    <phoneticPr fontId="5" type="noConversion"/>
  </si>
  <si>
    <t>城南街道张八里村18、22、23组地段</t>
    <phoneticPr fontId="5" type="noConversion"/>
  </si>
  <si>
    <t>R2017018</t>
    <phoneticPr fontId="5" type="noConversion"/>
  </si>
  <si>
    <t>2011-A17-A</t>
    <phoneticPr fontId="5" type="noConversion"/>
  </si>
  <si>
    <r>
      <rPr>
        <sz val="11"/>
        <color rgb="FFC00000"/>
        <rFont val="等线"/>
        <family val="2"/>
      </rPr>
      <t>泉州</t>
    </r>
    <r>
      <rPr>
        <sz val="11"/>
        <color rgb="FFC00000"/>
        <rFont val="Arial"/>
        <family val="2"/>
      </rPr>
      <t>2018-01</t>
    </r>
    <r>
      <rPr>
        <sz val="11"/>
        <color rgb="FFC00000"/>
        <rFont val="等线"/>
        <family val="2"/>
      </rPr>
      <t>清蒙地块</t>
    </r>
    <phoneticPr fontId="5" type="noConversion"/>
  </si>
  <si>
    <r>
      <rPr>
        <sz val="11"/>
        <color rgb="FFC00000"/>
        <rFont val="等线"/>
        <family val="2"/>
      </rPr>
      <t>衢州</t>
    </r>
  </si>
  <si>
    <r>
      <rPr>
        <sz val="11"/>
        <color rgb="FFC00000"/>
        <rFont val="等线"/>
        <family val="2"/>
      </rPr>
      <t>常山县</t>
    </r>
  </si>
  <si>
    <r>
      <rPr>
        <sz val="11"/>
        <color rgb="FFC00000"/>
        <rFont val="等线"/>
        <family val="2"/>
      </rPr>
      <t>南充</t>
    </r>
  </si>
  <si>
    <r>
      <rPr>
        <sz val="11"/>
        <color rgb="FFC00000"/>
        <rFont val="等线"/>
        <family val="2"/>
      </rPr>
      <t>南充二期片区</t>
    </r>
    <r>
      <rPr>
        <sz val="11"/>
        <color rgb="FFC00000"/>
        <rFont val="Arial"/>
        <family val="2"/>
      </rPr>
      <t>Bd-1</t>
    </r>
    <r>
      <rPr>
        <sz val="11"/>
        <color rgb="FFC00000"/>
        <rFont val="等线"/>
        <family val="2"/>
      </rPr>
      <t>号地块</t>
    </r>
    <phoneticPr fontId="5" type="noConversion"/>
  </si>
  <si>
    <r>
      <rPr>
        <sz val="11"/>
        <color rgb="FF7030A0"/>
        <rFont val="等线"/>
        <family val="2"/>
      </rPr>
      <t>太白湖新区</t>
    </r>
  </si>
  <si>
    <r>
      <rPr>
        <sz val="11"/>
        <color rgb="FF7030A0"/>
        <rFont val="宋体"/>
        <family val="3"/>
        <charset val="134"/>
      </rPr>
      <t>中南</t>
    </r>
    <r>
      <rPr>
        <sz val="11"/>
        <color rgb="FF7030A0"/>
        <rFont val="Arial"/>
        <family val="2"/>
      </rPr>
      <t>·</t>
    </r>
    <r>
      <rPr>
        <sz val="11"/>
        <color rgb="FF7030A0"/>
        <rFont val="宋体"/>
        <family val="3"/>
        <charset val="134"/>
      </rPr>
      <t>珑悦，还剩6栋在售，价格7000-15000</t>
    </r>
    <phoneticPr fontId="5" type="noConversion"/>
  </si>
  <si>
    <r>
      <rPr>
        <sz val="11"/>
        <color rgb="FF7030A0"/>
        <rFont val="等线"/>
        <family val="2"/>
      </rPr>
      <t>泉州</t>
    </r>
  </si>
  <si>
    <r>
      <rPr>
        <sz val="11"/>
        <color rgb="FF7030A0"/>
        <rFont val="等线"/>
        <family val="2"/>
      </rPr>
      <t>鲤城区</t>
    </r>
  </si>
  <si>
    <r>
      <t>2018-10</t>
    </r>
    <r>
      <rPr>
        <sz val="11"/>
        <color rgb="FF7030A0"/>
        <rFont val="等线"/>
        <family val="2"/>
      </rPr>
      <t>号地块</t>
    </r>
    <phoneticPr fontId="5" type="noConversion"/>
  </si>
  <si>
    <r>
      <rPr>
        <sz val="11"/>
        <color rgb="FF7030A0"/>
        <rFont val="等线"/>
        <family val="2"/>
      </rPr>
      <t>重庆</t>
    </r>
  </si>
  <si>
    <t>重庆北碚区蔡家组团地块</t>
    <phoneticPr fontId="5" type="noConversion"/>
  </si>
  <si>
    <r>
      <rPr>
        <sz val="11"/>
        <color rgb="FF7030A0"/>
        <rFont val="等线"/>
        <family val="2"/>
      </rPr>
      <t>眉山</t>
    </r>
    <phoneticPr fontId="5" type="noConversion"/>
  </si>
  <si>
    <r>
      <rPr>
        <sz val="11"/>
        <color rgb="FF7030A0"/>
        <rFont val="等线"/>
        <family val="2"/>
      </rPr>
      <t>仁寿县</t>
    </r>
    <phoneticPr fontId="5" type="noConversion"/>
  </si>
  <si>
    <r>
      <rPr>
        <sz val="11"/>
        <color rgb="FF7030A0"/>
        <rFont val="等线"/>
        <family val="2"/>
      </rPr>
      <t>临沂</t>
    </r>
  </si>
  <si>
    <r>
      <rPr>
        <sz val="11"/>
        <color rgb="FF7030A0"/>
        <rFont val="等线"/>
        <family val="2"/>
      </rPr>
      <t>临沂</t>
    </r>
    <r>
      <rPr>
        <sz val="11"/>
        <color rgb="FF7030A0"/>
        <rFont val="Arial"/>
        <family val="2"/>
      </rPr>
      <t>2018-055</t>
    </r>
    <r>
      <rPr>
        <sz val="11"/>
        <color rgb="FF7030A0"/>
        <rFont val="等线"/>
        <family val="2"/>
      </rPr>
      <t>地块</t>
    </r>
    <phoneticPr fontId="5" type="noConversion"/>
  </si>
  <si>
    <r>
      <rPr>
        <sz val="11"/>
        <color rgb="FFFF0000"/>
        <rFont val="等线"/>
        <family val="2"/>
      </rPr>
      <t>长乐</t>
    </r>
    <r>
      <rPr>
        <sz val="11"/>
        <color rgb="FFFF0000"/>
        <rFont val="Arial"/>
        <family val="2"/>
      </rPr>
      <t>2018</t>
    </r>
    <r>
      <rPr>
        <sz val="11"/>
        <color rgb="FFFF0000"/>
        <rFont val="等线"/>
        <family val="2"/>
      </rPr>
      <t>拍</t>
    </r>
    <r>
      <rPr>
        <sz val="11"/>
        <color rgb="FFFF0000"/>
        <rFont val="Arial"/>
        <family val="2"/>
      </rPr>
      <t>-8</t>
    </r>
    <r>
      <rPr>
        <sz val="11"/>
        <color rgb="FFFF0000"/>
        <rFont val="等线"/>
        <family val="2"/>
      </rPr>
      <t>号地</t>
    </r>
    <phoneticPr fontId="5" type="noConversion"/>
  </si>
  <si>
    <r>
      <rPr>
        <sz val="11"/>
        <color rgb="FFFF0000"/>
        <rFont val="等线"/>
        <family val="2"/>
      </rPr>
      <t>盐城</t>
    </r>
  </si>
  <si>
    <r>
      <rPr>
        <sz val="11"/>
        <color rgb="FFFF0000"/>
        <rFont val="等线"/>
        <family val="2"/>
      </rPr>
      <t>东台市</t>
    </r>
  </si>
  <si>
    <t>寿光</t>
    <phoneticPr fontId="5" type="noConversion"/>
  </si>
  <si>
    <t>寿光中南世纪星城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</si>
</sst>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%"/>
    <numFmt numFmtId="178" formatCode="yyyy&quot;年&quot;m&quot;月&quot;;@"/>
    <numFmt numFmtId="179" formatCode="#,##0.00_ "/>
    <numFmt numFmtId="180" formatCode="#,##0_ "/>
    <numFmt numFmtId="181" formatCode="#,##0.00_);[Red]\(#,##0.00\)"/>
    <numFmt numFmtId="182" formatCode="0.00_);[Red]\(0.00\)"/>
    <numFmt numFmtId="183" formatCode="0_);[Red]\(0\)"/>
  </numFmts>
  <fonts count="55" x14ac:knownFonts="1">
    <font>
      <sz val="11"/>
      <color theme="1"/>
      <name val="等线"/>
      <family val="2"/>
      <scheme val="minor"/>
    </font>
    <font>
      <sz val="11"/>
      <color indexed="8"/>
      <name val="Arial"/>
      <family val="2"/>
    </font>
    <font>
      <sz val="11"/>
      <color indexed="8"/>
      <name val="宋体"/>
      <family val="2"/>
    </font>
    <font>
      <sz val="11"/>
      <color indexed="8"/>
      <name val="宋体"/>
      <family val="1"/>
      <charset val="204"/>
    </font>
    <font>
      <sz val="11"/>
      <color indexed="8"/>
      <name val="Times New Roman"/>
      <family val="1"/>
      <charset val="20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rgb="FF333333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indexed="8"/>
      <name val="Arial"/>
      <family val="1"/>
      <charset val="20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Arial"/>
      <family val="2"/>
    </font>
    <font>
      <sz val="11"/>
      <color theme="1"/>
      <name val="Arial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Arial"/>
      <family val="3"/>
      <charset val="134"/>
    </font>
    <font>
      <sz val="11"/>
      <color rgb="FFFF0000"/>
      <name val="宋体"/>
      <family val="2"/>
    </font>
    <font>
      <u/>
      <sz val="11"/>
      <color rgb="FFFF0000"/>
      <name val="等线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等线"/>
      <family val="2"/>
    </font>
    <font>
      <sz val="11"/>
      <color rgb="FF7030A0"/>
      <name val="等线"/>
      <family val="2"/>
      <scheme val="minor"/>
    </font>
    <font>
      <sz val="11"/>
      <color rgb="FF7030A0"/>
      <name val="Arial"/>
      <family val="2"/>
    </font>
    <font>
      <sz val="11"/>
      <color rgb="FF7030A0"/>
      <name val="等线"/>
      <family val="2"/>
    </font>
    <font>
      <u/>
      <sz val="11"/>
      <color rgb="FF7030A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Arial"/>
      <family val="2"/>
    </font>
    <font>
      <sz val="11"/>
      <color rgb="FF00B0F0"/>
      <name val="等线"/>
      <family val="2"/>
    </font>
    <font>
      <sz val="11"/>
      <color rgb="FFFF0000"/>
      <name val="Arial"/>
      <family val="1"/>
      <charset val="204"/>
    </font>
    <font>
      <sz val="11"/>
      <color rgb="FFFF0000"/>
      <name val="宋体"/>
      <family val="1"/>
      <charset val="204"/>
    </font>
    <font>
      <sz val="11"/>
      <color rgb="FFC00000"/>
      <name val="Arial"/>
      <family val="2"/>
    </font>
    <font>
      <sz val="11"/>
      <color rgb="FFC00000"/>
      <name val="宋体"/>
      <family val="2"/>
    </font>
    <font>
      <sz val="11"/>
      <color rgb="FFC00000"/>
      <name val="Arial"/>
      <family val="1"/>
      <charset val="204"/>
    </font>
    <font>
      <sz val="11"/>
      <color rgb="FFC00000"/>
      <name val="宋体"/>
      <family val="1"/>
      <charset val="204"/>
    </font>
    <font>
      <sz val="11"/>
      <color rgb="FFC00000"/>
      <name val="Arial"/>
      <family val="3"/>
      <charset val="134"/>
    </font>
    <font>
      <sz val="11"/>
      <color rgb="FFC00000"/>
      <name val="宋体"/>
      <family val="3"/>
      <charset val="134"/>
    </font>
    <font>
      <u/>
      <sz val="11"/>
      <color rgb="FFC0000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u/>
      <sz val="11"/>
      <color rgb="FFC00000"/>
      <name val="等线"/>
      <family val="3"/>
      <charset val="134"/>
      <scheme val="minor"/>
    </font>
    <font>
      <b/>
      <sz val="11"/>
      <color indexed="8"/>
      <name val="宋体"/>
      <family val="2"/>
    </font>
    <font>
      <b/>
      <sz val="11"/>
      <color indexed="8"/>
      <name val="宋体"/>
      <family val="1"/>
      <charset val="204"/>
    </font>
    <font>
      <u/>
      <sz val="11"/>
      <color rgb="FFFF0000"/>
      <name val="等线"/>
      <family val="3"/>
      <charset val="134"/>
      <scheme val="minor"/>
    </font>
    <font>
      <sz val="11"/>
      <color rgb="FF7030A0"/>
      <name val="Arial"/>
      <family val="3"/>
      <charset val="134"/>
    </font>
    <font>
      <sz val="11"/>
      <color rgb="FF7030A0"/>
      <name val="宋体"/>
      <family val="3"/>
      <charset val="134"/>
    </font>
    <font>
      <sz val="11"/>
      <color rgb="FF7030A0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0"/>
      <color rgb="FF7030A0"/>
      <name val="Arial"/>
      <family val="2"/>
    </font>
    <font>
      <sz val="11"/>
      <color rgb="FFC0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0">
    <xf numFmtId="0" fontId="0" fillId="0" borderId="0" xfId="0"/>
    <xf numFmtId="1" fontId="1" fillId="0" borderId="5" xfId="0" applyNumberFormat="1" applyFont="1" applyBorder="1" applyAlignment="1">
      <alignment vertical="center" shrinkToFit="1"/>
    </xf>
    <xf numFmtId="9" fontId="1" fillId="0" borderId="5" xfId="0" applyNumberFormat="1" applyFont="1" applyBorder="1" applyAlignment="1">
      <alignment vertical="center" shrinkToFit="1"/>
    </xf>
    <xf numFmtId="2" fontId="1" fillId="0" borderId="5" xfId="0" applyNumberFormat="1" applyFont="1" applyBorder="1" applyAlignment="1">
      <alignment vertical="center" shrinkToFit="1"/>
    </xf>
    <xf numFmtId="2" fontId="1" fillId="0" borderId="6" xfId="0" applyNumberFormat="1" applyFont="1" applyBorder="1" applyAlignment="1">
      <alignment vertical="center" shrinkToFit="1"/>
    </xf>
    <xf numFmtId="10" fontId="1" fillId="0" borderId="5" xfId="0" applyNumberFormat="1" applyFont="1" applyBorder="1" applyAlignment="1">
      <alignment vertical="center" shrinkToFit="1"/>
    </xf>
    <xf numFmtId="1" fontId="1" fillId="0" borderId="8" xfId="0" applyNumberFormat="1" applyFont="1" applyBorder="1" applyAlignment="1">
      <alignment vertical="center" shrinkToFit="1"/>
    </xf>
    <xf numFmtId="9" fontId="1" fillId="0" borderId="8" xfId="0" applyNumberFormat="1" applyFont="1" applyBorder="1" applyAlignment="1">
      <alignment vertical="center" shrinkToFit="1"/>
    </xf>
    <xf numFmtId="2" fontId="1" fillId="0" borderId="8" xfId="0" applyNumberFormat="1" applyFont="1" applyBorder="1" applyAlignment="1">
      <alignment vertical="center" shrinkToFit="1"/>
    </xf>
    <xf numFmtId="2" fontId="1" fillId="0" borderId="9" xfId="0" applyNumberFormat="1" applyFont="1" applyBorder="1" applyAlignment="1">
      <alignment vertical="center" shrinkToFit="1"/>
    </xf>
    <xf numFmtId="0" fontId="0" fillId="0" borderId="5" xfId="0" applyBorder="1" applyAlignment="1">
      <alignment vertical="center"/>
    </xf>
    <xf numFmtId="2" fontId="1" fillId="0" borderId="0" xfId="0" applyNumberFormat="1" applyFont="1" applyBorder="1" applyAlignment="1">
      <alignment vertical="center" shrinkToFit="1"/>
    </xf>
    <xf numFmtId="177" fontId="1" fillId="0" borderId="8" xfId="0" applyNumberFormat="1" applyFont="1" applyBorder="1" applyAlignment="1">
      <alignment vertical="center" shrinkToFi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6" fontId="1" fillId="0" borderId="10" xfId="0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57" fontId="7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176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 wrapText="1"/>
    </xf>
    <xf numFmtId="57" fontId="7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57" fontId="7" fillId="0" borderId="0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57" fontId="7" fillId="0" borderId="0" xfId="0" applyNumberFormat="1" applyFont="1"/>
    <xf numFmtId="176" fontId="7" fillId="0" borderId="0" xfId="0" applyNumberFormat="1" applyFont="1"/>
    <xf numFmtId="178" fontId="7" fillId="0" borderId="1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9" fontId="7" fillId="0" borderId="2" xfId="0" applyNumberFormat="1" applyFont="1" applyBorder="1" applyAlignment="1">
      <alignment vertical="center" wrapText="1"/>
    </xf>
    <xf numFmtId="179" fontId="7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78" fontId="7" fillId="0" borderId="4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9" fontId="7" fillId="0" borderId="5" xfId="0" applyNumberFormat="1" applyFont="1" applyBorder="1" applyAlignment="1">
      <alignment vertical="center"/>
    </xf>
    <xf numFmtId="179" fontId="7" fillId="0" borderId="5" xfId="0" applyNumberFormat="1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178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 wrapText="1"/>
    </xf>
    <xf numFmtId="9" fontId="0" fillId="0" borderId="5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76" fontId="10" fillId="0" borderId="2" xfId="0" applyNumberFormat="1" applyFont="1" applyBorder="1" applyAlignment="1">
      <alignment vertical="center" wrapText="1"/>
    </xf>
    <xf numFmtId="176" fontId="7" fillId="0" borderId="5" xfId="0" applyNumberFormat="1" applyFon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7" fillId="0" borderId="0" xfId="0" applyNumberFormat="1" applyFont="1"/>
    <xf numFmtId="180" fontId="7" fillId="0" borderId="0" xfId="0" applyNumberFormat="1" applyFont="1"/>
    <xf numFmtId="179" fontId="7" fillId="0" borderId="0" xfId="0" applyNumberFormat="1" applyFont="1"/>
    <xf numFmtId="0" fontId="0" fillId="0" borderId="0" xfId="0" applyAlignment="1">
      <alignment vertical="center" wrapText="1"/>
    </xf>
    <xf numFmtId="10" fontId="0" fillId="0" borderId="0" xfId="0" applyNumberFormat="1"/>
    <xf numFmtId="179" fontId="0" fillId="0" borderId="0" xfId="0" applyNumberFormat="1"/>
    <xf numFmtId="180" fontId="0" fillId="0" borderId="0" xfId="0" applyNumberFormat="1"/>
    <xf numFmtId="179" fontId="0" fillId="0" borderId="0" xfId="0" applyNumberFormat="1" applyAlignment="1">
      <alignment vertical="center" wrapText="1"/>
    </xf>
    <xf numFmtId="180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0" borderId="0" xfId="1"/>
    <xf numFmtId="0" fontId="14" fillId="0" borderId="0" xfId="1" applyAlignment="1">
      <alignment vertical="center"/>
    </xf>
    <xf numFmtId="0" fontId="15" fillId="0" borderId="0" xfId="0" applyFont="1"/>
    <xf numFmtId="0" fontId="14" fillId="0" borderId="5" xfId="1" applyBorder="1" applyAlignment="1">
      <alignment vertical="center"/>
    </xf>
    <xf numFmtId="2" fontId="1" fillId="0" borderId="0" xfId="0" applyNumberFormat="1" applyFont="1" applyAlignment="1">
      <alignment vertical="center" shrinkToFit="1"/>
    </xf>
    <xf numFmtId="9" fontId="0" fillId="0" borderId="0" xfId="0" applyNumberFormat="1"/>
    <xf numFmtId="176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57" fontId="17" fillId="0" borderId="0" xfId="0" applyNumberFormat="1" applyFont="1"/>
    <xf numFmtId="9" fontId="15" fillId="0" borderId="0" xfId="0" applyNumberFormat="1" applyFont="1"/>
    <xf numFmtId="2" fontId="17" fillId="0" borderId="0" xfId="0" applyNumberFormat="1" applyFont="1" applyAlignment="1">
      <alignment vertical="center" shrinkToFit="1"/>
    </xf>
    <xf numFmtId="0" fontId="17" fillId="0" borderId="0" xfId="0" applyFont="1"/>
    <xf numFmtId="0" fontId="18" fillId="0" borderId="0" xfId="0" applyFont="1"/>
    <xf numFmtId="178" fontId="0" fillId="0" borderId="0" xfId="0" applyNumberFormat="1" applyAlignment="1">
      <alignment vertical="center" wrapText="1"/>
    </xf>
    <xf numFmtId="178" fontId="0" fillId="0" borderId="0" xfId="0" applyNumberFormat="1"/>
    <xf numFmtId="178" fontId="11" fillId="0" borderId="0" xfId="0" applyNumberFormat="1" applyFont="1"/>
    <xf numFmtId="178" fontId="12" fillId="0" borderId="0" xfId="0" applyNumberFormat="1" applyFont="1"/>
    <xf numFmtId="178" fontId="7" fillId="0" borderId="0" xfId="0" applyNumberFormat="1" applyFont="1"/>
    <xf numFmtId="0" fontId="10" fillId="0" borderId="0" xfId="0" applyFont="1"/>
    <xf numFmtId="0" fontId="18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176" fontId="0" fillId="0" borderId="0" xfId="0" applyNumberFormat="1"/>
    <xf numFmtId="0" fontId="0" fillId="0" borderId="0" xfId="0" applyAlignment="1">
      <alignment wrapText="1"/>
    </xf>
    <xf numFmtId="0" fontId="17" fillId="0" borderId="8" xfId="0" applyFont="1" applyBorder="1" applyAlignment="1">
      <alignment vertical="center" wrapText="1"/>
    </xf>
    <xf numFmtId="1" fontId="17" fillId="0" borderId="8" xfId="0" applyNumberFormat="1" applyFont="1" applyBorder="1" applyAlignment="1">
      <alignment vertical="center" shrinkToFit="1"/>
    </xf>
    <xf numFmtId="9" fontId="17" fillId="0" borderId="8" xfId="0" applyNumberFormat="1" applyFont="1" applyBorder="1" applyAlignment="1">
      <alignment vertical="center" shrinkToFit="1"/>
    </xf>
    <xf numFmtId="2" fontId="17" fillId="0" borderId="8" xfId="0" applyNumberFormat="1" applyFont="1" applyBorder="1" applyAlignment="1">
      <alignment vertical="center" shrinkToFit="1"/>
    </xf>
    <xf numFmtId="2" fontId="17" fillId="0" borderId="9" xfId="0" applyNumberFormat="1" applyFont="1" applyBorder="1" applyAlignment="1">
      <alignment vertical="center" shrinkToFit="1"/>
    </xf>
    <xf numFmtId="2" fontId="17" fillId="0" borderId="0" xfId="0" applyNumberFormat="1" applyFont="1" applyBorder="1" applyAlignment="1">
      <alignment vertical="center" shrinkToFit="1"/>
    </xf>
    <xf numFmtId="0" fontId="17" fillId="0" borderId="5" xfId="0" applyFont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57" fontId="17" fillId="0" borderId="4" xfId="0" applyNumberFormat="1" applyFont="1" applyBorder="1" applyAlignment="1">
      <alignment vertical="center"/>
    </xf>
    <xf numFmtId="1" fontId="17" fillId="0" borderId="5" xfId="0" applyNumberFormat="1" applyFont="1" applyBorder="1" applyAlignment="1">
      <alignment vertical="center" shrinkToFit="1"/>
    </xf>
    <xf numFmtId="9" fontId="17" fillId="0" borderId="5" xfId="0" applyNumberFormat="1" applyFont="1" applyBorder="1" applyAlignment="1">
      <alignment vertical="center" shrinkToFit="1"/>
    </xf>
    <xf numFmtId="2" fontId="17" fillId="0" borderId="5" xfId="0" applyNumberFormat="1" applyFont="1" applyBorder="1" applyAlignment="1">
      <alignment vertical="center" shrinkToFit="1"/>
    </xf>
    <xf numFmtId="2" fontId="17" fillId="0" borderId="6" xfId="0" applyNumberFormat="1" applyFont="1" applyBorder="1" applyAlignment="1">
      <alignment vertical="center" shrinkToFit="1"/>
    </xf>
    <xf numFmtId="0" fontId="23" fillId="0" borderId="0" xfId="0" applyFont="1"/>
    <xf numFmtId="10" fontId="10" fillId="0" borderId="2" xfId="0" applyNumberFormat="1" applyFont="1" applyBorder="1" applyAlignment="1">
      <alignment vertical="center" wrapText="1"/>
    </xf>
    <xf numFmtId="10" fontId="7" fillId="0" borderId="5" xfId="0" applyNumberFormat="1" applyFont="1" applyBorder="1" applyAlignment="1">
      <alignment vertical="center"/>
    </xf>
    <xf numFmtId="10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79" fontId="17" fillId="0" borderId="5" xfId="0" applyNumberFormat="1" applyFont="1" applyBorder="1" applyAlignment="1">
      <alignment vertical="center"/>
    </xf>
    <xf numFmtId="178" fontId="17" fillId="0" borderId="4" xfId="0" applyNumberFormat="1" applyFont="1" applyBorder="1" applyAlignment="1">
      <alignment vertical="center"/>
    </xf>
    <xf numFmtId="9" fontId="17" fillId="0" borderId="5" xfId="0" applyNumberFormat="1" applyFont="1" applyBorder="1" applyAlignment="1">
      <alignment vertical="center"/>
    </xf>
    <xf numFmtId="176" fontId="17" fillId="0" borderId="5" xfId="0" applyNumberFormat="1" applyFont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10" fontId="15" fillId="0" borderId="5" xfId="0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26" fillId="0" borderId="5" xfId="0" applyFont="1" applyBorder="1" applyAlignment="1">
      <alignment vertical="center" wrapText="1"/>
    </xf>
    <xf numFmtId="179" fontId="26" fillId="0" borderId="5" xfId="0" applyNumberFormat="1" applyFont="1" applyBorder="1" applyAlignment="1">
      <alignment vertical="center"/>
    </xf>
    <xf numFmtId="178" fontId="26" fillId="0" borderId="4" xfId="0" applyNumberFormat="1" applyFont="1" applyBorder="1" applyAlignment="1">
      <alignment vertical="center"/>
    </xf>
    <xf numFmtId="9" fontId="26" fillId="0" borderId="5" xfId="0" applyNumberFormat="1" applyFont="1" applyBorder="1" applyAlignment="1">
      <alignment vertical="center"/>
    </xf>
    <xf numFmtId="176" fontId="26" fillId="0" borderId="5" xfId="0" applyNumberFormat="1" applyFont="1" applyBorder="1" applyAlignment="1">
      <alignment vertical="center"/>
    </xf>
    <xf numFmtId="10" fontId="26" fillId="0" borderId="5" xfId="0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0" fontId="28" fillId="0" borderId="5" xfId="1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0" fontId="30" fillId="0" borderId="5" xfId="0" applyFont="1" applyBorder="1" applyAlignment="1">
      <alignment vertical="center"/>
    </xf>
    <xf numFmtId="0" fontId="30" fillId="0" borderId="5" xfId="0" applyFont="1" applyBorder="1" applyAlignment="1">
      <alignment vertical="center" wrapText="1"/>
    </xf>
    <xf numFmtId="179" fontId="30" fillId="0" borderId="5" xfId="0" applyNumberFormat="1" applyFont="1" applyBorder="1" applyAlignment="1">
      <alignment vertical="center"/>
    </xf>
    <xf numFmtId="178" fontId="30" fillId="0" borderId="4" xfId="0" applyNumberFormat="1" applyFont="1" applyBorder="1" applyAlignment="1">
      <alignment vertical="center"/>
    </xf>
    <xf numFmtId="9" fontId="30" fillId="0" borderId="5" xfId="0" applyNumberFormat="1" applyFont="1" applyBorder="1" applyAlignment="1">
      <alignment vertical="center"/>
    </xf>
    <xf numFmtId="176" fontId="30" fillId="0" borderId="5" xfId="0" applyNumberFormat="1" applyFont="1" applyBorder="1" applyAlignment="1">
      <alignment vertical="center"/>
    </xf>
    <xf numFmtId="0" fontId="29" fillId="0" borderId="5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10" fontId="17" fillId="0" borderId="5" xfId="0" applyNumberFormat="1" applyFont="1" applyBorder="1" applyAlignment="1">
      <alignment vertical="center"/>
    </xf>
    <xf numFmtId="0" fontId="22" fillId="0" borderId="5" xfId="1" applyFont="1" applyBorder="1" applyAlignment="1">
      <alignment vertical="center"/>
    </xf>
    <xf numFmtId="0" fontId="14" fillId="0" borderId="5" xfId="1" applyBorder="1"/>
    <xf numFmtId="0" fontId="14" fillId="0" borderId="0" xfId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181" fontId="10" fillId="0" borderId="0" xfId="0" applyNumberFormat="1" applyFont="1" applyBorder="1" applyAlignment="1">
      <alignment vertical="center" wrapText="1"/>
    </xf>
    <xf numFmtId="10" fontId="10" fillId="0" borderId="0" xfId="0" applyNumberFormat="1" applyFont="1" applyBorder="1" applyAlignment="1">
      <alignment vertical="center" wrapText="1"/>
    </xf>
    <xf numFmtId="2" fontId="7" fillId="0" borderId="0" xfId="0" applyNumberFormat="1" applyFont="1" applyBorder="1" applyAlignment="1">
      <alignment vertical="center" shrinkToFit="1"/>
    </xf>
    <xf numFmtId="181" fontId="7" fillId="0" borderId="0" xfId="0" applyNumberFormat="1" applyFont="1" applyBorder="1" applyAlignment="1">
      <alignment vertical="center" shrinkToFit="1"/>
    </xf>
    <xf numFmtId="10" fontId="7" fillId="0" borderId="0" xfId="0" applyNumberFormat="1" applyFont="1" applyBorder="1" applyAlignment="1">
      <alignment vertical="center" shrinkToFit="1"/>
    </xf>
    <xf numFmtId="181" fontId="17" fillId="0" borderId="0" xfId="0" applyNumberFormat="1" applyFont="1" applyBorder="1" applyAlignment="1">
      <alignment vertical="center" shrinkToFit="1"/>
    </xf>
    <xf numFmtId="10" fontId="17" fillId="0" borderId="0" xfId="0" applyNumberFormat="1" applyFont="1" applyBorder="1" applyAlignment="1">
      <alignment vertical="center" shrinkToFit="1"/>
    </xf>
    <xf numFmtId="0" fontId="32" fillId="0" borderId="5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2" fillId="0" borderId="0" xfId="1" applyFont="1" applyAlignment="1">
      <alignment vertical="center"/>
    </xf>
    <xf numFmtId="178" fontId="8" fillId="0" borderId="1" xfId="0" applyNumberFormat="1" applyFont="1" applyBorder="1" applyAlignment="1">
      <alignment vertical="center" wrapText="1"/>
    </xf>
    <xf numFmtId="179" fontId="1" fillId="0" borderId="10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179" fontId="6" fillId="0" borderId="10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79" fontId="7" fillId="0" borderId="0" xfId="0" applyNumberFormat="1" applyFont="1" applyBorder="1" applyAlignment="1">
      <alignment vertical="center" shrinkToFit="1"/>
    </xf>
    <xf numFmtId="0" fontId="34" fillId="0" borderId="5" xfId="0" applyFont="1" applyBorder="1" applyAlignment="1">
      <alignment vertical="center" wrapText="1"/>
    </xf>
    <xf numFmtId="0" fontId="36" fillId="0" borderId="5" xfId="0" applyFont="1" applyBorder="1" applyAlignment="1">
      <alignment vertical="center" wrapText="1"/>
    </xf>
    <xf numFmtId="176" fontId="34" fillId="0" borderId="0" xfId="0" applyNumberFormat="1" applyFont="1" applyAlignment="1">
      <alignment vertical="center"/>
    </xf>
    <xf numFmtId="57" fontId="34" fillId="0" borderId="4" xfId="0" applyNumberFormat="1" applyFont="1" applyBorder="1" applyAlignment="1">
      <alignment vertical="center"/>
    </xf>
    <xf numFmtId="1" fontId="34" fillId="0" borderId="5" xfId="0" applyNumberFormat="1" applyFont="1" applyBorder="1" applyAlignment="1">
      <alignment vertical="center" shrinkToFit="1"/>
    </xf>
    <xf numFmtId="9" fontId="34" fillId="0" borderId="5" xfId="0" applyNumberFormat="1" applyFont="1" applyBorder="1" applyAlignment="1">
      <alignment vertical="center" shrinkToFit="1"/>
    </xf>
    <xf numFmtId="2" fontId="34" fillId="0" borderId="6" xfId="0" applyNumberFormat="1" applyFont="1" applyBorder="1" applyAlignment="1">
      <alignment vertical="center" shrinkToFit="1"/>
    </xf>
    <xf numFmtId="2" fontId="34" fillId="0" borderId="0" xfId="0" applyNumberFormat="1" applyFont="1" applyBorder="1" applyAlignment="1">
      <alignment vertical="center" shrinkToFit="1"/>
    </xf>
    <xf numFmtId="181" fontId="34" fillId="0" borderId="0" xfId="0" applyNumberFormat="1" applyFont="1" applyBorder="1" applyAlignment="1">
      <alignment vertical="center" shrinkToFit="1"/>
    </xf>
    <xf numFmtId="10" fontId="34" fillId="0" borderId="0" xfId="0" applyNumberFormat="1" applyFont="1" applyBorder="1" applyAlignment="1">
      <alignment vertical="center" shrinkToFit="1"/>
    </xf>
    <xf numFmtId="0" fontId="34" fillId="0" borderId="0" xfId="0" applyFont="1"/>
    <xf numFmtId="0" fontId="38" fillId="0" borderId="0" xfId="0" applyFont="1" applyAlignment="1">
      <alignment vertical="center" wrapText="1"/>
    </xf>
    <xf numFmtId="0" fontId="4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57" fontId="7" fillId="0" borderId="0" xfId="0" applyNumberFormat="1" applyFont="1" applyAlignment="1">
      <alignment vertical="center"/>
    </xf>
    <xf numFmtId="9" fontId="0" fillId="0" borderId="0" xfId="0" applyNumberFormat="1" applyAlignment="1">
      <alignment vertical="center"/>
    </xf>
    <xf numFmtId="57" fontId="0" fillId="0" borderId="0" xfId="0" applyNumberFormat="1" applyAlignment="1">
      <alignment vertical="center"/>
    </xf>
    <xf numFmtId="0" fontId="0" fillId="0" borderId="0" xfId="0" applyFont="1"/>
    <xf numFmtId="57" fontId="0" fillId="0" borderId="0" xfId="0" applyNumberFormat="1" applyFont="1" applyAlignment="1">
      <alignment vertical="center"/>
    </xf>
    <xf numFmtId="179" fontId="0" fillId="0" borderId="0" xfId="0" applyNumberFormat="1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 wrapText="1"/>
    </xf>
    <xf numFmtId="179" fontId="12" fillId="0" borderId="0" xfId="0" applyNumberFormat="1" applyFont="1"/>
    <xf numFmtId="10" fontId="12" fillId="0" borderId="0" xfId="0" applyNumberFormat="1" applyFont="1"/>
    <xf numFmtId="180" fontId="12" fillId="0" borderId="0" xfId="0" applyNumberFormat="1" applyFont="1"/>
    <xf numFmtId="0" fontId="12" fillId="0" borderId="0" xfId="0" applyFont="1" applyAlignment="1">
      <alignment wrapText="1"/>
    </xf>
    <xf numFmtId="182" fontId="0" fillId="0" borderId="2" xfId="0" applyNumberFormat="1" applyBorder="1" applyAlignment="1">
      <alignment vertical="center" wrapText="1"/>
    </xf>
    <xf numFmtId="182" fontId="0" fillId="0" borderId="5" xfId="0" applyNumberFormat="1" applyBorder="1" applyAlignment="1">
      <alignment vertical="center"/>
    </xf>
    <xf numFmtId="182" fontId="0" fillId="0" borderId="5" xfId="0" applyNumberFormat="1" applyBorder="1" applyAlignment="1">
      <alignment vertical="center" wrapText="1"/>
    </xf>
    <xf numFmtId="182" fontId="43" fillId="0" borderId="5" xfId="0" applyNumberFormat="1" applyFont="1" applyBorder="1" applyAlignment="1">
      <alignment vertical="center"/>
    </xf>
    <xf numFmtId="182" fontId="43" fillId="0" borderId="5" xfId="0" applyNumberFormat="1" applyFont="1" applyBorder="1" applyAlignment="1">
      <alignment vertical="center" wrapText="1"/>
    </xf>
    <xf numFmtId="182" fontId="14" fillId="0" borderId="5" xfId="1" applyNumberFormat="1" applyBorder="1" applyAlignment="1">
      <alignment vertical="center"/>
    </xf>
    <xf numFmtId="0" fontId="0" fillId="0" borderId="5" xfId="0" applyBorder="1"/>
    <xf numFmtId="182" fontId="0" fillId="0" borderId="5" xfId="0" applyNumberFormat="1" applyFill="1" applyBorder="1" applyAlignment="1">
      <alignment vertical="center"/>
    </xf>
    <xf numFmtId="182" fontId="0" fillId="0" borderId="5" xfId="0" applyNumberFormat="1" applyFill="1" applyBorder="1" applyAlignment="1">
      <alignment vertical="center" wrapText="1"/>
    </xf>
    <xf numFmtId="182" fontId="14" fillId="0" borderId="5" xfId="1" applyNumberFormat="1" applyFill="1" applyBorder="1" applyAlignment="1">
      <alignment vertical="center"/>
    </xf>
    <xf numFmtId="0" fontId="0" fillId="0" borderId="5" xfId="0" applyFill="1" applyBorder="1"/>
    <xf numFmtId="182" fontId="42" fillId="2" borderId="2" xfId="0" applyNumberFormat="1" applyFont="1" applyFill="1" applyBorder="1" applyAlignment="1">
      <alignment vertical="center" wrapText="1"/>
    </xf>
    <xf numFmtId="182" fontId="16" fillId="2" borderId="2" xfId="0" applyNumberFormat="1" applyFont="1" applyFill="1" applyBorder="1" applyAlignment="1">
      <alignment vertical="center" wrapText="1"/>
    </xf>
    <xf numFmtId="0" fontId="44" fillId="0" borderId="0" xfId="0" applyFont="1"/>
    <xf numFmtId="0" fontId="43" fillId="0" borderId="0" xfId="0" applyFont="1" applyAlignment="1">
      <alignment vertical="center" wrapText="1"/>
    </xf>
    <xf numFmtId="179" fontId="43" fillId="0" borderId="0" xfId="0" applyNumberFormat="1" applyFont="1"/>
    <xf numFmtId="178" fontId="43" fillId="0" borderId="0" xfId="0" applyNumberFormat="1" applyFont="1"/>
    <xf numFmtId="10" fontId="43" fillId="0" borderId="0" xfId="0" applyNumberFormat="1" applyFont="1"/>
    <xf numFmtId="180" fontId="43" fillId="0" borderId="0" xfId="0" applyNumberFormat="1" applyFont="1"/>
    <xf numFmtId="0" fontId="43" fillId="0" borderId="0" xfId="0" applyFont="1" applyAlignment="1">
      <alignment wrapText="1"/>
    </xf>
    <xf numFmtId="0" fontId="45" fillId="0" borderId="0" xfId="1" applyFont="1"/>
    <xf numFmtId="178" fontId="7" fillId="0" borderId="2" xfId="0" applyNumberFormat="1" applyFont="1" applyBorder="1" applyAlignment="1">
      <alignment vertical="center" wrapText="1"/>
    </xf>
    <xf numFmtId="180" fontId="7" fillId="0" borderId="2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80" fontId="7" fillId="0" borderId="5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/>
    <xf numFmtId="0" fontId="8" fillId="0" borderId="5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80" fontId="17" fillId="0" borderId="5" xfId="0" applyNumberFormat="1" applyFont="1" applyBorder="1" applyAlignment="1">
      <alignment vertical="center"/>
    </xf>
    <xf numFmtId="178" fontId="7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2" fontId="7" fillId="0" borderId="5" xfId="0" applyNumberFormat="1" applyFont="1" applyBorder="1" applyAlignment="1">
      <alignment vertical="center" shrinkToFit="1"/>
    </xf>
    <xf numFmtId="181" fontId="7" fillId="0" borderId="5" xfId="0" applyNumberFormat="1" applyFont="1" applyBorder="1" applyAlignment="1">
      <alignment vertical="center" shrinkToFit="1"/>
    </xf>
    <xf numFmtId="10" fontId="7" fillId="0" borderId="5" xfId="0" applyNumberFormat="1" applyFont="1" applyBorder="1" applyAlignment="1">
      <alignment vertical="center" shrinkToFit="1"/>
    </xf>
    <xf numFmtId="0" fontId="24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79" fontId="7" fillId="0" borderId="8" xfId="0" applyNumberFormat="1" applyFont="1" applyBorder="1" applyAlignment="1">
      <alignment vertical="center"/>
    </xf>
    <xf numFmtId="9" fontId="7" fillId="0" borderId="8" xfId="0" applyNumberFormat="1" applyFont="1" applyBorder="1" applyAlignment="1">
      <alignment vertical="center"/>
    </xf>
    <xf numFmtId="180" fontId="7" fillId="0" borderId="8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1" fontId="1" fillId="0" borderId="12" xfId="0" applyNumberFormat="1" applyFont="1" applyBorder="1" applyAlignment="1">
      <alignment vertical="center" shrinkToFit="1"/>
    </xf>
    <xf numFmtId="0" fontId="13" fillId="0" borderId="8" xfId="0" applyFont="1" applyBorder="1" applyAlignment="1">
      <alignment vertical="center" wrapText="1"/>
    </xf>
    <xf numFmtId="57" fontId="17" fillId="0" borderId="1" xfId="0" applyNumberFormat="1" applyFont="1" applyBorder="1" applyAlignment="1">
      <alignment vertical="center"/>
    </xf>
    <xf numFmtId="57" fontId="7" fillId="0" borderId="1" xfId="0" applyNumberFormat="1" applyFont="1" applyBorder="1" applyAlignment="1">
      <alignment vertical="center"/>
    </xf>
    <xf numFmtId="9" fontId="1" fillId="0" borderId="2" xfId="0" applyNumberFormat="1" applyFont="1" applyBorder="1" applyAlignment="1">
      <alignment vertical="center" shrinkToFit="1"/>
    </xf>
    <xf numFmtId="2" fontId="1" fillId="0" borderId="2" xfId="0" applyNumberFormat="1" applyFont="1" applyBorder="1" applyAlignment="1">
      <alignment vertical="center" shrinkToFit="1"/>
    </xf>
    <xf numFmtId="2" fontId="1" fillId="0" borderId="3" xfId="0" applyNumberFormat="1" applyFont="1" applyBorder="1" applyAlignment="1">
      <alignment vertical="center" shrinkToFit="1"/>
    </xf>
    <xf numFmtId="0" fontId="13" fillId="0" borderId="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9" fontId="1" fillId="0" borderId="14" xfId="0" applyNumberFormat="1" applyFont="1" applyBorder="1" applyAlignment="1">
      <alignment vertical="center" shrinkToFit="1"/>
    </xf>
    <xf numFmtId="2" fontId="1" fillId="0" borderId="14" xfId="0" applyNumberFormat="1" applyFont="1" applyBorder="1" applyAlignment="1">
      <alignment vertical="center" shrinkToFit="1"/>
    </xf>
    <xf numFmtId="2" fontId="1" fillId="0" borderId="10" xfId="0" applyNumberFormat="1" applyFont="1" applyBorder="1" applyAlignment="1">
      <alignment vertical="center" shrinkToFit="1"/>
    </xf>
    <xf numFmtId="0" fontId="1" fillId="0" borderId="15" xfId="0" applyFont="1" applyBorder="1" applyAlignment="1">
      <alignment vertical="center" wrapText="1"/>
    </xf>
    <xf numFmtId="176" fontId="1" fillId="0" borderId="14" xfId="0" applyNumberFormat="1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81" fontId="10" fillId="0" borderId="14" xfId="0" applyNumberFormat="1" applyFont="1" applyBorder="1" applyAlignment="1">
      <alignment vertical="center" wrapText="1"/>
    </xf>
    <xf numFmtId="10" fontId="10" fillId="0" borderId="1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6" fontId="7" fillId="0" borderId="2" xfId="0" applyNumberFormat="1" applyFont="1" applyBorder="1" applyAlignment="1">
      <alignment vertical="center"/>
    </xf>
    <xf numFmtId="57" fontId="7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57" fontId="7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176" fontId="7" fillId="0" borderId="8" xfId="0" applyNumberFormat="1" applyFont="1" applyBorder="1" applyAlignment="1">
      <alignment vertical="center"/>
    </xf>
    <xf numFmtId="57" fontId="7" fillId="0" borderId="9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vertical="center" shrinkToFit="1"/>
    </xf>
    <xf numFmtId="2" fontId="7" fillId="0" borderId="2" xfId="0" applyNumberFormat="1" applyFont="1" applyBorder="1" applyAlignment="1">
      <alignment vertical="center" shrinkToFit="1"/>
    </xf>
    <xf numFmtId="181" fontId="7" fillId="0" borderId="2" xfId="0" applyNumberFormat="1" applyFont="1" applyBorder="1" applyAlignment="1">
      <alignment vertical="center" shrinkToFit="1"/>
    </xf>
    <xf numFmtId="10" fontId="7" fillId="0" borderId="2" xfId="0" applyNumberFormat="1" applyFont="1" applyBorder="1" applyAlignment="1">
      <alignment vertical="center" shrinkToFit="1"/>
    </xf>
    <xf numFmtId="0" fontId="14" fillId="0" borderId="2" xfId="1" applyBorder="1" applyAlignment="1">
      <alignment vertical="center"/>
    </xf>
    <xf numFmtId="0" fontId="7" fillId="0" borderId="2" xfId="0" applyFont="1" applyBorder="1"/>
    <xf numFmtId="9" fontId="1" fillId="0" borderId="4" xfId="0" applyNumberFormat="1" applyFont="1" applyBorder="1" applyAlignment="1">
      <alignment vertical="center" shrinkToFit="1"/>
    </xf>
    <xf numFmtId="0" fontId="10" fillId="0" borderId="5" xfId="0" applyFont="1" applyBorder="1" applyAlignment="1">
      <alignment vertical="center" wrapText="1"/>
    </xf>
    <xf numFmtId="0" fontId="7" fillId="0" borderId="5" xfId="0" applyFont="1" applyBorder="1"/>
    <xf numFmtId="9" fontId="1" fillId="0" borderId="7" xfId="0" applyNumberFormat="1" applyFont="1" applyBorder="1" applyAlignment="1">
      <alignment vertical="center" shrinkToFit="1"/>
    </xf>
    <xf numFmtId="2" fontId="7" fillId="0" borderId="8" xfId="0" applyNumberFormat="1" applyFont="1" applyBorder="1" applyAlignment="1">
      <alignment vertical="center" shrinkToFit="1"/>
    </xf>
    <xf numFmtId="181" fontId="7" fillId="0" borderId="8" xfId="0" applyNumberFormat="1" applyFont="1" applyBorder="1" applyAlignment="1">
      <alignment vertical="center" shrinkToFit="1"/>
    </xf>
    <xf numFmtId="10" fontId="7" fillId="0" borderId="8" xfId="0" applyNumberFormat="1" applyFont="1" applyBorder="1" applyAlignment="1">
      <alignment vertical="center" shrinkToFit="1"/>
    </xf>
    <xf numFmtId="0" fontId="10" fillId="0" borderId="8" xfId="0" applyFont="1" applyBorder="1" applyAlignment="1">
      <alignment vertical="center" wrapText="1"/>
    </xf>
    <xf numFmtId="0" fontId="14" fillId="0" borderId="8" xfId="1" applyBorder="1" applyAlignment="1">
      <alignment vertical="center"/>
    </xf>
    <xf numFmtId="0" fontId="7" fillId="0" borderId="8" xfId="0" applyFont="1" applyBorder="1"/>
    <xf numFmtId="176" fontId="7" fillId="0" borderId="14" xfId="0" applyNumberFormat="1" applyFont="1" applyBorder="1" applyAlignment="1">
      <alignment vertical="center"/>
    </xf>
    <xf numFmtId="57" fontId="7" fillId="0" borderId="10" xfId="0" applyNumberFormat="1" applyFont="1" applyBorder="1" applyAlignment="1">
      <alignment vertical="center"/>
    </xf>
    <xf numFmtId="9" fontId="1" fillId="0" borderId="15" xfId="0" applyNumberFormat="1" applyFont="1" applyBorder="1" applyAlignment="1">
      <alignment vertical="center" shrinkToFit="1"/>
    </xf>
    <xf numFmtId="2" fontId="7" fillId="0" borderId="14" xfId="0" applyNumberFormat="1" applyFont="1" applyBorder="1" applyAlignment="1">
      <alignment vertical="center" shrinkToFit="1"/>
    </xf>
    <xf numFmtId="181" fontId="7" fillId="0" borderId="14" xfId="0" applyNumberFormat="1" applyFont="1" applyBorder="1" applyAlignment="1">
      <alignment vertical="center" shrinkToFit="1"/>
    </xf>
    <xf numFmtId="10" fontId="7" fillId="0" borderId="14" xfId="0" applyNumberFormat="1" applyFont="1" applyBorder="1" applyAlignment="1">
      <alignment vertical="center" shrinkToFit="1"/>
    </xf>
    <xf numFmtId="0" fontId="14" fillId="0" borderId="14" xfId="1" applyBorder="1" applyAlignment="1">
      <alignment vertical="center"/>
    </xf>
    <xf numFmtId="0" fontId="7" fillId="0" borderId="14" xfId="0" applyFont="1" applyBorder="1"/>
    <xf numFmtId="0" fontId="7" fillId="0" borderId="2" xfId="0" applyFont="1" applyBorder="1" applyAlignment="1">
      <alignment vertical="center"/>
    </xf>
    <xf numFmtId="0" fontId="7" fillId="0" borderId="1" xfId="0" applyFont="1" applyBorder="1"/>
    <xf numFmtId="0" fontId="7" fillId="0" borderId="2" xfId="0" applyFont="1" applyBorder="1" applyAlignment="1">
      <alignment wrapText="1"/>
    </xf>
    <xf numFmtId="176" fontId="7" fillId="0" borderId="2" xfId="0" applyNumberFormat="1" applyFont="1" applyBorder="1"/>
    <xf numFmtId="0" fontId="7" fillId="0" borderId="3" xfId="0" applyFont="1" applyBorder="1"/>
    <xf numFmtId="0" fontId="23" fillId="0" borderId="4" xfId="0" applyFont="1" applyBorder="1"/>
    <xf numFmtId="0" fontId="23" fillId="0" borderId="5" xfId="0" applyFont="1" applyBorder="1" applyAlignment="1">
      <alignment wrapText="1"/>
    </xf>
    <xf numFmtId="176" fontId="23" fillId="0" borderId="5" xfId="0" applyNumberFormat="1" applyFont="1" applyBorder="1"/>
    <xf numFmtId="0" fontId="23" fillId="0" borderId="6" xfId="0" applyFont="1" applyBorder="1"/>
    <xf numFmtId="0" fontId="7" fillId="0" borderId="4" xfId="0" applyFont="1" applyBorder="1"/>
    <xf numFmtId="0" fontId="7" fillId="0" borderId="5" xfId="0" applyFont="1" applyBorder="1" applyAlignment="1">
      <alignment wrapText="1"/>
    </xf>
    <xf numFmtId="176" fontId="7" fillId="0" borderId="5" xfId="0" applyNumberFormat="1" applyFont="1" applyBorder="1"/>
    <xf numFmtId="181" fontId="7" fillId="0" borderId="2" xfId="0" applyNumberFormat="1" applyFont="1" applyBorder="1"/>
    <xf numFmtId="10" fontId="7" fillId="0" borderId="2" xfId="0" applyNumberFormat="1" applyFont="1" applyBorder="1"/>
    <xf numFmtId="0" fontId="23" fillId="0" borderId="5" xfId="0" applyFont="1" applyBorder="1"/>
    <xf numFmtId="2" fontId="23" fillId="0" borderId="5" xfId="0" applyNumberFormat="1" applyFont="1" applyBorder="1"/>
    <xf numFmtId="181" fontId="9" fillId="0" borderId="5" xfId="0" applyNumberFormat="1" applyFont="1" applyBorder="1"/>
    <xf numFmtId="10" fontId="9" fillId="0" borderId="5" xfId="0" applyNumberFormat="1" applyFont="1" applyBorder="1"/>
    <xf numFmtId="0" fontId="23" fillId="0" borderId="5" xfId="0" applyFont="1" applyBorder="1" applyAlignment="1">
      <alignment vertical="center" wrapText="1"/>
    </xf>
    <xf numFmtId="0" fontId="23" fillId="0" borderId="5" xfId="0" applyFont="1" applyBorder="1" applyAlignment="1">
      <alignment vertical="center"/>
    </xf>
    <xf numFmtId="181" fontId="7" fillId="0" borderId="5" xfId="0" applyNumberFormat="1" applyFont="1" applyBorder="1"/>
    <xf numFmtId="10" fontId="7" fillId="0" borderId="5" xfId="0" applyNumberFormat="1" applyFont="1" applyBorder="1"/>
    <xf numFmtId="2" fontId="7" fillId="0" borderId="5" xfId="0" applyNumberFormat="1" applyFont="1" applyBorder="1"/>
    <xf numFmtId="176" fontId="7" fillId="0" borderId="0" xfId="0" applyNumberFormat="1" applyFont="1" applyBorder="1" applyAlignment="1">
      <alignment vertical="center"/>
    </xf>
    <xf numFmtId="57" fontId="1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1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17" fillId="0" borderId="2" xfId="0" applyNumberFormat="1" applyFont="1" applyBorder="1" applyAlignment="1">
      <alignment vertical="center" shrinkToFit="1"/>
    </xf>
    <xf numFmtId="9" fontId="0" fillId="0" borderId="0" xfId="0" applyNumberFormat="1" applyBorder="1" applyAlignment="1">
      <alignment vertical="center"/>
    </xf>
    <xf numFmtId="2" fontId="17" fillId="0" borderId="2" xfId="0" applyNumberFormat="1" applyFont="1" applyBorder="1" applyAlignment="1">
      <alignment vertical="center" shrinkToFit="1"/>
    </xf>
    <xf numFmtId="2" fontId="17" fillId="0" borderId="3" xfId="0" applyNumberFormat="1" applyFont="1" applyBorder="1" applyAlignment="1">
      <alignment vertical="center" shrinkToFit="1"/>
    </xf>
    <xf numFmtId="0" fontId="18" fillId="0" borderId="0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 applyAlignment="1">
      <alignment vertical="center"/>
    </xf>
    <xf numFmtId="0" fontId="15" fillId="0" borderId="0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21" fillId="0" borderId="8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176" fontId="17" fillId="0" borderId="0" xfId="0" applyNumberFormat="1" applyFont="1" applyBorder="1" applyAlignment="1">
      <alignment vertical="center"/>
    </xf>
    <xf numFmtId="57" fontId="17" fillId="0" borderId="7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9" fontId="15" fillId="0" borderId="0" xfId="0" applyNumberFormat="1" applyFont="1" applyBorder="1" applyAlignment="1">
      <alignment vertical="center"/>
    </xf>
    <xf numFmtId="9" fontId="0" fillId="0" borderId="15" xfId="0" applyNumberFormat="1" applyBorder="1" applyAlignment="1">
      <alignment vertical="center"/>
    </xf>
    <xf numFmtId="0" fontId="20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183" fontId="0" fillId="0" borderId="1" xfId="0" applyNumberFormat="1" applyBorder="1" applyAlignment="1">
      <alignment vertical="center" wrapText="1"/>
    </xf>
    <xf numFmtId="183" fontId="0" fillId="0" borderId="4" xfId="0" applyNumberFormat="1" applyBorder="1" applyAlignment="1">
      <alignment vertical="center"/>
    </xf>
    <xf numFmtId="183" fontId="0" fillId="0" borderId="4" xfId="0" applyNumberFormat="1" applyFill="1" applyBorder="1" applyAlignment="1">
      <alignment vertical="center"/>
    </xf>
    <xf numFmtId="183" fontId="43" fillId="0" borderId="4" xfId="0" applyNumberFormat="1" applyFont="1" applyBorder="1" applyAlignment="1">
      <alignment vertical="center"/>
    </xf>
    <xf numFmtId="183" fontId="0" fillId="0" borderId="4" xfId="0" applyNumberFormat="1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46" fillId="0" borderId="16" xfId="0" applyFont="1" applyBorder="1" applyAlignment="1">
      <alignment horizontal="left" vertical="top" wrapText="1" indent="1"/>
    </xf>
    <xf numFmtId="0" fontId="46" fillId="0" borderId="16" xfId="0" applyFont="1" applyBorder="1" applyAlignment="1">
      <alignment horizontal="center" vertical="top" wrapText="1"/>
    </xf>
    <xf numFmtId="0" fontId="47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left" vertical="top" wrapText="1"/>
    </xf>
    <xf numFmtId="10" fontId="1" fillId="0" borderId="16" xfId="0" applyNumberFormat="1" applyFont="1" applyBorder="1" applyAlignment="1">
      <alignment horizontal="center" vertical="top" shrinkToFit="1"/>
    </xf>
    <xf numFmtId="2" fontId="1" fillId="0" borderId="16" xfId="0" applyNumberFormat="1" applyFont="1" applyBorder="1" applyAlignment="1">
      <alignment horizontal="right" vertical="top" shrinkToFit="1"/>
    </xf>
    <xf numFmtId="0" fontId="2" fillId="0" borderId="16" xfId="0" applyFont="1" applyBorder="1" applyAlignment="1">
      <alignment horizontal="left" vertical="top" wrapText="1"/>
    </xf>
    <xf numFmtId="9" fontId="1" fillId="0" borderId="16" xfId="0" applyNumberFormat="1" applyFont="1" applyBorder="1" applyAlignment="1">
      <alignment horizontal="center" vertical="top" shrinkToFit="1"/>
    </xf>
    <xf numFmtId="0" fontId="3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 indent="1"/>
    </xf>
    <xf numFmtId="0" fontId="0" fillId="2" borderId="5" xfId="0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 wrapText="1"/>
    </xf>
    <xf numFmtId="179" fontId="7" fillId="2" borderId="5" xfId="0" applyNumberFormat="1" applyFont="1" applyFill="1" applyBorder="1" applyAlignment="1">
      <alignment vertical="center"/>
    </xf>
    <xf numFmtId="178" fontId="7" fillId="2" borderId="4" xfId="0" applyNumberFormat="1" applyFont="1" applyFill="1" applyBorder="1" applyAlignment="1">
      <alignment vertical="center"/>
    </xf>
    <xf numFmtId="9" fontId="7" fillId="2" borderId="5" xfId="0" applyNumberFormat="1" applyFont="1" applyFill="1" applyBorder="1" applyAlignment="1">
      <alignment vertical="center"/>
    </xf>
    <xf numFmtId="176" fontId="7" fillId="2" borderId="5" xfId="0" applyNumberFormat="1" applyFont="1" applyFill="1" applyBorder="1" applyAlignment="1">
      <alignment vertical="center"/>
    </xf>
    <xf numFmtId="10" fontId="7" fillId="2" borderId="5" xfId="0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14" fillId="2" borderId="5" xfId="1" applyFill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4" fillId="0" borderId="6" xfId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8" fillId="0" borderId="5" xfId="0" applyFont="1" applyBorder="1" applyAlignment="1">
      <alignment vertical="center" wrapText="1"/>
    </xf>
    <xf numFmtId="178" fontId="17" fillId="0" borderId="5" xfId="0" applyNumberFormat="1" applyFont="1" applyBorder="1" applyAlignment="1">
      <alignment vertical="center"/>
    </xf>
    <xf numFmtId="0" fontId="19" fillId="0" borderId="5" xfId="0" applyFont="1" applyBorder="1" applyAlignment="1">
      <alignment vertical="center" wrapText="1"/>
    </xf>
    <xf numFmtId="0" fontId="22" fillId="0" borderId="6" xfId="1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178" fontId="7" fillId="0" borderId="8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83" fontId="15" fillId="0" borderId="4" xfId="0" applyNumberFormat="1" applyFont="1" applyBorder="1" applyAlignment="1">
      <alignment vertical="center"/>
    </xf>
    <xf numFmtId="182" fontId="15" fillId="0" borderId="5" xfId="0" applyNumberFormat="1" applyFont="1" applyBorder="1" applyAlignment="1">
      <alignment vertical="center"/>
    </xf>
    <xf numFmtId="182" fontId="16" fillId="0" borderId="5" xfId="0" applyNumberFormat="1" applyFont="1" applyBorder="1" applyAlignment="1">
      <alignment vertical="center" wrapText="1"/>
    </xf>
    <xf numFmtId="182" fontId="48" fillId="0" borderId="5" xfId="1" applyNumberFormat="1" applyFont="1" applyBorder="1" applyAlignment="1">
      <alignment vertical="center"/>
    </xf>
    <xf numFmtId="0" fontId="16" fillId="0" borderId="5" xfId="0" applyFont="1" applyBorder="1"/>
    <xf numFmtId="0" fontId="16" fillId="0" borderId="0" xfId="0" applyFont="1" applyAlignment="1">
      <alignment vertical="center" wrapText="1"/>
    </xf>
    <xf numFmtId="179" fontId="16" fillId="0" borderId="0" xfId="0" applyNumberFormat="1" applyFont="1"/>
    <xf numFmtId="178" fontId="16" fillId="0" borderId="0" xfId="0" applyNumberFormat="1" applyFont="1"/>
    <xf numFmtId="10" fontId="16" fillId="0" borderId="0" xfId="0" applyNumberFormat="1" applyFont="1"/>
    <xf numFmtId="180" fontId="16" fillId="0" borderId="0" xfId="0" applyNumberFormat="1" applyFont="1"/>
    <xf numFmtId="0" fontId="16" fillId="0" borderId="0" xfId="0" applyFont="1" applyAlignment="1">
      <alignment wrapText="1"/>
    </xf>
    <xf numFmtId="9" fontId="0" fillId="0" borderId="2" xfId="0" applyNumberFormat="1" applyBorder="1" applyAlignment="1">
      <alignment vertical="center" wrapText="1"/>
    </xf>
    <xf numFmtId="9" fontId="43" fillId="0" borderId="5" xfId="0" applyNumberFormat="1" applyFont="1" applyBorder="1" applyAlignment="1">
      <alignment vertical="center"/>
    </xf>
    <xf numFmtId="9" fontId="0" fillId="0" borderId="5" xfId="0" applyNumberFormat="1" applyFill="1" applyBorder="1" applyAlignment="1">
      <alignment vertical="center"/>
    </xf>
    <xf numFmtId="9" fontId="15" fillId="0" borderId="5" xfId="0" applyNumberFormat="1" applyFont="1" applyBorder="1" applyAlignment="1">
      <alignment vertical="center"/>
    </xf>
    <xf numFmtId="9" fontId="0" fillId="0" borderId="5" xfId="0" applyNumberFormat="1" applyBorder="1"/>
    <xf numFmtId="0" fontId="26" fillId="0" borderId="4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178" fontId="26" fillId="0" borderId="5" xfId="0" applyNumberFormat="1" applyFont="1" applyBorder="1" applyAlignment="1">
      <alignment vertical="center"/>
    </xf>
    <xf numFmtId="180" fontId="26" fillId="0" borderId="5" xfId="0" applyNumberFormat="1" applyFont="1" applyBorder="1" applyAlignment="1">
      <alignment vertical="center"/>
    </xf>
    <xf numFmtId="0" fontId="49" fillId="0" borderId="5" xfId="0" applyFont="1" applyBorder="1" applyAlignment="1">
      <alignment vertical="center" wrapText="1"/>
    </xf>
    <xf numFmtId="0" fontId="28" fillId="0" borderId="6" xfId="1" applyFont="1" applyBorder="1" applyAlignment="1">
      <alignment vertical="center"/>
    </xf>
    <xf numFmtId="0" fontId="26" fillId="0" borderId="0" xfId="0" applyFont="1"/>
    <xf numFmtId="183" fontId="25" fillId="0" borderId="4" xfId="0" applyNumberFormat="1" applyFont="1" applyBorder="1" applyAlignment="1">
      <alignment vertical="center"/>
    </xf>
    <xf numFmtId="182" fontId="25" fillId="0" borderId="5" xfId="0" applyNumberFormat="1" applyFont="1" applyBorder="1" applyAlignment="1">
      <alignment vertical="center"/>
    </xf>
    <xf numFmtId="9" fontId="51" fillId="0" borderId="5" xfId="0" applyNumberFormat="1" applyFont="1" applyBorder="1" applyAlignment="1">
      <alignment vertical="center"/>
    </xf>
    <xf numFmtId="182" fontId="51" fillId="0" borderId="5" xfId="0" applyNumberFormat="1" applyFont="1" applyBorder="1" applyAlignment="1">
      <alignment vertical="center" wrapText="1"/>
    </xf>
    <xf numFmtId="182" fontId="52" fillId="0" borderId="5" xfId="1" applyNumberFormat="1" applyFont="1" applyBorder="1" applyAlignment="1">
      <alignment vertical="center"/>
    </xf>
    <xf numFmtId="0" fontId="51" fillId="0" borderId="5" xfId="0" applyFont="1" applyBorder="1"/>
    <xf numFmtId="183" fontId="15" fillId="0" borderId="4" xfId="0" applyNumberFormat="1" applyFont="1" applyFill="1" applyBorder="1" applyAlignment="1">
      <alignment vertical="center"/>
    </xf>
    <xf numFmtId="182" fontId="15" fillId="0" borderId="5" xfId="0" applyNumberFormat="1" applyFont="1" applyFill="1" applyBorder="1" applyAlignment="1">
      <alignment vertical="center"/>
    </xf>
    <xf numFmtId="9" fontId="16" fillId="0" borderId="5" xfId="0" applyNumberFormat="1" applyFont="1" applyFill="1" applyBorder="1" applyAlignment="1">
      <alignment vertical="center"/>
    </xf>
    <xf numFmtId="182" fontId="16" fillId="0" borderId="5" xfId="0" applyNumberFormat="1" applyFont="1" applyFill="1" applyBorder="1" applyAlignment="1">
      <alignment vertical="center" wrapText="1"/>
    </xf>
    <xf numFmtId="182" fontId="48" fillId="0" borderId="5" xfId="1" applyNumberFormat="1" applyFont="1" applyFill="1" applyBorder="1" applyAlignment="1">
      <alignment vertical="center"/>
    </xf>
    <xf numFmtId="0" fontId="16" fillId="0" borderId="5" xfId="0" applyFont="1" applyFill="1" applyBorder="1"/>
    <xf numFmtId="0" fontId="51" fillId="0" borderId="5" xfId="0" applyFont="1" applyFill="1" applyBorder="1"/>
    <xf numFmtId="0" fontId="25" fillId="0" borderId="0" xfId="0" applyFont="1"/>
    <xf numFmtId="0" fontId="51" fillId="0" borderId="0" xfId="0" applyFont="1" applyAlignment="1">
      <alignment vertical="center" wrapText="1"/>
    </xf>
    <xf numFmtId="179" fontId="51" fillId="0" borderId="0" xfId="0" applyNumberFormat="1" applyFont="1"/>
    <xf numFmtId="178" fontId="51" fillId="0" borderId="0" xfId="0" applyNumberFormat="1" applyFont="1"/>
    <xf numFmtId="10" fontId="51" fillId="0" borderId="0" xfId="0" applyNumberFormat="1" applyFont="1"/>
    <xf numFmtId="180" fontId="51" fillId="0" borderId="0" xfId="0" applyNumberFormat="1" applyFont="1"/>
    <xf numFmtId="0" fontId="51" fillId="0" borderId="0" xfId="0" applyFont="1" applyAlignment="1">
      <alignment wrapText="1"/>
    </xf>
    <xf numFmtId="0" fontId="52" fillId="0" borderId="0" xfId="1" applyFont="1"/>
    <xf numFmtId="0" fontId="25" fillId="0" borderId="0" xfId="0" applyFont="1" applyAlignment="1">
      <alignment vertical="center" wrapText="1"/>
    </xf>
    <xf numFmtId="179" fontId="25" fillId="0" borderId="0" xfId="0" applyNumberFormat="1" applyFont="1"/>
    <xf numFmtId="178" fontId="53" fillId="0" borderId="0" xfId="0" applyNumberFormat="1" applyFont="1"/>
    <xf numFmtId="10" fontId="25" fillId="0" borderId="0" xfId="0" applyNumberFormat="1" applyFont="1"/>
    <xf numFmtId="180" fontId="25" fillId="0" borderId="0" xfId="0" applyNumberFormat="1" applyFont="1"/>
    <xf numFmtId="0" fontId="25" fillId="0" borderId="0" xfId="0" applyFont="1" applyAlignment="1">
      <alignment wrapText="1"/>
    </xf>
    <xf numFmtId="178" fontId="25" fillId="0" borderId="0" xfId="0" applyNumberFormat="1" applyFont="1"/>
    <xf numFmtId="183" fontId="44" fillId="0" borderId="4" xfId="0" applyNumberFormat="1" applyFont="1" applyBorder="1" applyAlignment="1">
      <alignment vertical="center"/>
    </xf>
    <xf numFmtId="182" fontId="44" fillId="0" borderId="5" xfId="0" applyNumberFormat="1" applyFont="1" applyBorder="1" applyAlignment="1">
      <alignment vertical="center"/>
    </xf>
    <xf numFmtId="0" fontId="43" fillId="0" borderId="5" xfId="0" applyFont="1" applyBorder="1"/>
    <xf numFmtId="0" fontId="54" fillId="0" borderId="4" xfId="0" applyFont="1" applyBorder="1" applyAlignment="1">
      <alignment vertical="center"/>
    </xf>
    <xf numFmtId="0" fontId="54" fillId="0" borderId="5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9" fontId="34" fillId="0" borderId="5" xfId="0" applyNumberFormat="1" applyFont="1" applyBorder="1" applyAlignment="1">
      <alignment vertical="center"/>
    </xf>
    <xf numFmtId="178" fontId="34" fillId="0" borderId="5" xfId="0" applyNumberFormat="1" applyFont="1" applyBorder="1" applyAlignment="1">
      <alignment vertical="center"/>
    </xf>
    <xf numFmtId="9" fontId="34" fillId="0" borderId="5" xfId="0" applyNumberFormat="1" applyFont="1" applyBorder="1" applyAlignment="1">
      <alignment vertical="center"/>
    </xf>
    <xf numFmtId="180" fontId="34" fillId="0" borderId="5" xfId="0" applyNumberFormat="1" applyFont="1" applyBorder="1" applyAlignment="1">
      <alignment vertical="center"/>
    </xf>
    <xf numFmtId="0" fontId="39" fillId="0" borderId="5" xfId="0" applyFont="1" applyBorder="1" applyAlignment="1">
      <alignment vertical="center" wrapText="1"/>
    </xf>
    <xf numFmtId="0" fontId="34" fillId="0" borderId="6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43" fillId="0" borderId="0" xfId="0" applyFont="1"/>
    <xf numFmtId="0" fontId="40" fillId="0" borderId="6" xfId="1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50" fillId="0" borderId="5" xfId="0" applyFont="1" applyBorder="1" applyAlignment="1">
      <alignment vertical="center" wrapText="1"/>
    </xf>
    <xf numFmtId="182" fontId="45" fillId="0" borderId="5" xfId="1" applyNumberFormat="1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9" fontId="16" fillId="0" borderId="5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q.newhouse.fang.com/loupan/3110123592/dongtai/" TargetMode="External"/><Relationship Id="rId18" Type="http://schemas.openxmlformats.org/officeDocument/2006/relationships/hyperlink" Target="https://xian.newhouse.fang.com/loupan/3610191422/housedetail.htm" TargetMode="External"/><Relationship Id="rId26" Type="http://schemas.openxmlformats.org/officeDocument/2006/relationships/hyperlink" Target="https://tz.newhouse.fang.com/loupan/2019202816/housedetail.htm" TargetMode="External"/><Relationship Id="rId39" Type="http://schemas.openxmlformats.org/officeDocument/2006/relationships/hyperlink" Target="https://taizhou.newhouse.fang.com/house/1828115000.htm" TargetMode="External"/><Relationship Id="rId21" Type="http://schemas.openxmlformats.org/officeDocument/2006/relationships/hyperlink" Target="https://linyi.newhouse.fang.com/loupan/2423155335.htm" TargetMode="External"/><Relationship Id="rId34" Type="http://schemas.openxmlformats.org/officeDocument/2006/relationships/hyperlink" Target="https://cz.newhouse.fang.com/loupan/1820158452/dongtai/" TargetMode="External"/><Relationship Id="rId42" Type="http://schemas.openxmlformats.org/officeDocument/2006/relationships/hyperlink" Target="https://tz.fang.anjuke.com/loupan/canshu-486895.html?from=loupan_tab" TargetMode="External"/><Relationship Id="rId47" Type="http://schemas.openxmlformats.org/officeDocument/2006/relationships/hyperlink" Target="https://www.fang.com/xinfang/qd-2411123549/" TargetMode="External"/><Relationship Id="rId50" Type="http://schemas.openxmlformats.org/officeDocument/2006/relationships/hyperlink" Target="https://weihai.newhouse.fang.com/loupan/2417163257/housedetail.ht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z.newhouse.fang.com/loupan/2012202946.htm" TargetMode="External"/><Relationship Id="rId12" Type="http://schemas.openxmlformats.org/officeDocument/2006/relationships/hyperlink" Target="https://www.fang.com/xinfang/gy-3314142014/" TargetMode="External"/><Relationship Id="rId17" Type="http://schemas.openxmlformats.org/officeDocument/2006/relationships/hyperlink" Target="https://xian.newhouse.fang.com/loupan/3610192042/dongtai/" TargetMode="External"/><Relationship Id="rId25" Type="http://schemas.openxmlformats.org/officeDocument/2006/relationships/hyperlink" Target="https://nb.newhouse.fang.com/loupan/2011124354.htm" TargetMode="External"/><Relationship Id="rId33" Type="http://schemas.openxmlformats.org/officeDocument/2006/relationships/hyperlink" Target="https://house.leju.com/hf171400/" TargetMode="External"/><Relationship Id="rId38" Type="http://schemas.openxmlformats.org/officeDocument/2006/relationships/hyperlink" Target="http://www.snfcmm.com/newhouse/202004/626679/view.html" TargetMode="External"/><Relationship Id="rId46" Type="http://schemas.openxmlformats.org/officeDocument/2006/relationships/hyperlink" Target="https://nt.newhouse.fang.com/loupan/1818148768.htm" TargetMode="External"/><Relationship Id="rId2" Type="http://schemas.openxmlformats.org/officeDocument/2006/relationships/hyperlink" Target="https://qd.newhouse.fang.com/loupan/2411123549.htm" TargetMode="External"/><Relationship Id="rId16" Type="http://schemas.openxmlformats.org/officeDocument/2006/relationships/hyperlink" Target="https://danzhou.focus.cn/loupan/110137649/dongtai/" TargetMode="External"/><Relationship Id="rId20" Type="http://schemas.openxmlformats.org/officeDocument/2006/relationships/hyperlink" Target="https://xian.newhouse.fang.com/loupan/3610190472/dongtai/" TargetMode="External"/><Relationship Id="rId29" Type="http://schemas.openxmlformats.org/officeDocument/2006/relationships/hyperlink" Target="https://shangyu.newhouse.fang.com/loupan/2031164132/housedetail.htm" TargetMode="External"/><Relationship Id="rId41" Type="http://schemas.openxmlformats.org/officeDocument/2006/relationships/hyperlink" Target="https://sq.newhouse.fang.com/loupan/1814200714/housedetail.htm" TargetMode="External"/><Relationship Id="rId54" Type="http://schemas.openxmlformats.org/officeDocument/2006/relationships/hyperlink" Target="https://changde.newhouse.fang.com/loupan/2716170918/housedetail.htm" TargetMode="External"/><Relationship Id="rId1" Type="http://schemas.openxmlformats.org/officeDocument/2006/relationships/hyperlink" Target="https://yt.newhouse.fang.com/loupan/2416163743.htm" TargetMode="External"/><Relationship Id="rId6" Type="http://schemas.openxmlformats.org/officeDocument/2006/relationships/hyperlink" Target="https://wz.newhouse.fang.com/loupan/2012202854.htm" TargetMode="External"/><Relationship Id="rId11" Type="http://schemas.openxmlformats.org/officeDocument/2006/relationships/hyperlink" Target="https://gy.newhouse.fang.com/loupan/3314142064/dongtai/" TargetMode="External"/><Relationship Id="rId24" Type="http://schemas.openxmlformats.org/officeDocument/2006/relationships/hyperlink" Target="https://huzhou.newhouse.fang.com/loupan/2013198136.htm" TargetMode="External"/><Relationship Id="rId32" Type="http://schemas.openxmlformats.org/officeDocument/2006/relationships/hyperlink" Target="http://newhouse.nj.house365.com/xinlinG83dikuai/sellinfo/2422555.html" TargetMode="External"/><Relationship Id="rId37" Type="http://schemas.openxmlformats.org/officeDocument/2006/relationships/hyperlink" Target="https://xz.newhouse.fang.com/house/1811200318/dongtai_1,2.htm" TargetMode="External"/><Relationship Id="rId40" Type="http://schemas.openxmlformats.org/officeDocument/2006/relationships/hyperlink" Target="https://www.fang.com/xinfang/tc-1828115014/" TargetMode="External"/><Relationship Id="rId45" Type="http://schemas.openxmlformats.org/officeDocument/2006/relationships/hyperlink" Target="https://nt.newhouse.fang.com/loupan/1818148768.htm" TargetMode="External"/><Relationship Id="rId53" Type="http://schemas.openxmlformats.org/officeDocument/2006/relationships/hyperlink" Target="https://nt.newhouse.fang.com/loupan/1818148832/housedetail.htm" TargetMode="External"/><Relationship Id="rId5" Type="http://schemas.openxmlformats.org/officeDocument/2006/relationships/hyperlink" Target="https://wz.newhouse.fang.com/loupan/2012202788/dongtai/" TargetMode="External"/><Relationship Id="rId15" Type="http://schemas.openxmlformats.org/officeDocument/2006/relationships/hyperlink" Target="https://cd.newhouse.fang.com/loupan/3210163190/housedetail.htm" TargetMode="External"/><Relationship Id="rId23" Type="http://schemas.openxmlformats.org/officeDocument/2006/relationships/hyperlink" Target="https://linyi.newhouse.fang.com/loupan/2423155191/dongtai/" TargetMode="External"/><Relationship Id="rId28" Type="http://schemas.openxmlformats.org/officeDocument/2006/relationships/hyperlink" Target="https://hz.newhouse.fang.com/loupan/2010187340.htm" TargetMode="External"/><Relationship Id="rId36" Type="http://schemas.openxmlformats.org/officeDocument/2006/relationships/hyperlink" Target="http://xuzhou.jiwu.com/news/list-loupan1289952.html" TargetMode="External"/><Relationship Id="rId49" Type="http://schemas.openxmlformats.org/officeDocument/2006/relationships/hyperlink" Target="https://nt.newhouse.fang.com/loupan/1818148792/housedetail.htm" TargetMode="External"/><Relationship Id="rId10" Type="http://schemas.openxmlformats.org/officeDocument/2006/relationships/hyperlink" Target="https://jm.newhouse.fang.com/loupan/2821145140.htm" TargetMode="External"/><Relationship Id="rId19" Type="http://schemas.openxmlformats.org/officeDocument/2006/relationships/hyperlink" Target="https://xian.newhouse.fang.com/house/3610190668/dongtai_2,1.htm" TargetMode="External"/><Relationship Id="rId31" Type="http://schemas.openxmlformats.org/officeDocument/2006/relationships/hyperlink" Target="https://nanjing.newhouse.fang.com/loupan/1810180540.htm" TargetMode="External"/><Relationship Id="rId44" Type="http://schemas.openxmlformats.org/officeDocument/2006/relationships/hyperlink" Target="https://leshan.newhouse.fang.com/house/1816127490.htm" TargetMode="External"/><Relationship Id="rId52" Type="http://schemas.openxmlformats.org/officeDocument/2006/relationships/hyperlink" Target="https://weihai.newhouse.fang.com/loupan/2417163115/housedetail.htm" TargetMode="External"/><Relationship Id="rId4" Type="http://schemas.openxmlformats.org/officeDocument/2006/relationships/hyperlink" Target="https://wz.newhouse.fang.com/loupan/2012202832/dongtai/" TargetMode="External"/><Relationship Id="rId9" Type="http://schemas.openxmlformats.org/officeDocument/2006/relationships/hyperlink" Target="https://fs.newhouse.fang.com/loupan/2822157546/dongtai/" TargetMode="External"/><Relationship Id="rId14" Type="http://schemas.openxmlformats.org/officeDocument/2006/relationships/hyperlink" Target="https://cd.newhouse.fang.com/loupan/3210163586/housedetail.htm" TargetMode="External"/><Relationship Id="rId22" Type="http://schemas.openxmlformats.org/officeDocument/2006/relationships/hyperlink" Target="https://linyi.newhouse.fang.com/loupan/2423155393/dongtai/" TargetMode="External"/><Relationship Id="rId27" Type="http://schemas.openxmlformats.org/officeDocument/2006/relationships/hyperlink" Target="https://nb.newhouse.fang.com/loupan/2011124634.htm" TargetMode="External"/><Relationship Id="rId30" Type="http://schemas.openxmlformats.org/officeDocument/2006/relationships/hyperlink" Target="https://sx.newhouse.fang.com/loupan/2015181916.htm" TargetMode="External"/><Relationship Id="rId35" Type="http://schemas.openxmlformats.org/officeDocument/2006/relationships/hyperlink" Target="https://cz.newhouse.fang.com/loupan/1820158458/dongtai/" TargetMode="External"/><Relationship Id="rId43" Type="http://schemas.openxmlformats.org/officeDocument/2006/relationships/hyperlink" Target="https://jy.newhouse.fang.com/loupan/1829123684/dongtai/" TargetMode="External"/><Relationship Id="rId48" Type="http://schemas.openxmlformats.org/officeDocument/2006/relationships/hyperlink" Target="https://haimen.newhouse.fang.com/loupan/1840176602.htm" TargetMode="External"/><Relationship Id="rId8" Type="http://schemas.openxmlformats.org/officeDocument/2006/relationships/hyperlink" Target="https://jinjiang.newhouse.fang.com/loupan/2215169014.htm" TargetMode="External"/><Relationship Id="rId51" Type="http://schemas.openxmlformats.org/officeDocument/2006/relationships/hyperlink" Target="https://nt.newhouse.fang.com/loupan/1818148896.htm" TargetMode="External"/><Relationship Id="rId3" Type="http://schemas.openxmlformats.org/officeDocument/2006/relationships/hyperlink" Target="https://nn.newhouse.fang.com/house/2910195952/dongtai_1,2.ht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zhenjiang.newhouse.fang.com/loupan/1819143256/housedetail.htm" TargetMode="External"/><Relationship Id="rId13" Type="http://schemas.openxmlformats.org/officeDocument/2006/relationships/hyperlink" Target="https://cd.newhouse.fang.com/loupan/3210160128/housedetail.htm" TargetMode="External"/><Relationship Id="rId18" Type="http://schemas.openxmlformats.org/officeDocument/2006/relationships/hyperlink" Target="https://wf.newhouse.fang.com/loupan/2415199657/housedetail.htm" TargetMode="External"/><Relationship Id="rId26" Type="http://schemas.openxmlformats.org/officeDocument/2006/relationships/hyperlink" Target="https://fs.newhouse.fang.com/loupan/2822156694/housedetail.htm" TargetMode="External"/><Relationship Id="rId39" Type="http://schemas.openxmlformats.org/officeDocument/2006/relationships/hyperlink" Target="https://tc.newhouse.fang.com/loupan/1828114868/housedetail.htm" TargetMode="External"/><Relationship Id="rId3" Type="http://schemas.openxmlformats.org/officeDocument/2006/relationships/hyperlink" Target="https://house.xz.xafc.com/41253/xinxi.html" TargetMode="External"/><Relationship Id="rId21" Type="http://schemas.openxmlformats.org/officeDocument/2006/relationships/hyperlink" Target="https://xian.newhouse.fang.com/loupan/3610190446/housedetail.htm" TargetMode="External"/><Relationship Id="rId34" Type="http://schemas.openxmlformats.org/officeDocument/2006/relationships/hyperlink" Target="https://nb.newhouse.fang.com/loupan/2011122906/housedetail.htm" TargetMode="External"/><Relationship Id="rId42" Type="http://schemas.openxmlformats.org/officeDocument/2006/relationships/hyperlink" Target="https://nb.newhouse.fang.com/loupan/2011123148/housedetail.htm" TargetMode="External"/><Relationship Id="rId7" Type="http://schemas.openxmlformats.org/officeDocument/2006/relationships/hyperlink" Target="https://changshu.newhouse.fang.com/loupan/1825138538/housedetail.htm" TargetMode="External"/><Relationship Id="rId12" Type="http://schemas.openxmlformats.org/officeDocument/2006/relationships/hyperlink" Target="https://km.newhouse.fang.com/loupan/3410168012.htm" TargetMode="External"/><Relationship Id="rId17" Type="http://schemas.openxmlformats.org/officeDocument/2006/relationships/hyperlink" Target="https://zjg.newhouse.fang.com/loupan/1827148634/housedetail.htm" TargetMode="External"/><Relationship Id="rId25" Type="http://schemas.openxmlformats.org/officeDocument/2006/relationships/hyperlink" Target="https://shangqiu.newhouse.fang.com/loupan/2523199179/housedetail.htm" TargetMode="External"/><Relationship Id="rId33" Type="http://schemas.openxmlformats.org/officeDocument/2006/relationships/hyperlink" Target="https://pinghu.newhouse.fang.com/loupan/2033168528/housedetail.htm" TargetMode="External"/><Relationship Id="rId38" Type="http://schemas.openxmlformats.org/officeDocument/2006/relationships/hyperlink" Target="https://nt.loupan.com/dongtai/7118146.html" TargetMode="External"/><Relationship Id="rId2" Type="http://schemas.openxmlformats.org/officeDocument/2006/relationships/hyperlink" Target="https://xz.loupan.com/dongtai/7072980.html" TargetMode="External"/><Relationship Id="rId16" Type="http://schemas.openxmlformats.org/officeDocument/2006/relationships/hyperlink" Target="https://nanjing.newhouse.fang.com/loupan/1810178758/housedetail.htm" TargetMode="External"/><Relationship Id="rId20" Type="http://schemas.openxmlformats.org/officeDocument/2006/relationships/hyperlink" Target="https://xian.newhouse.fang.com/house/3610190354/dongtai_2,2.htm" TargetMode="External"/><Relationship Id="rId29" Type="http://schemas.openxmlformats.org/officeDocument/2006/relationships/hyperlink" Target="https://hd.newhouse.fang.com/loupan/1311184081.htm" TargetMode="External"/><Relationship Id="rId41" Type="http://schemas.openxmlformats.org/officeDocument/2006/relationships/hyperlink" Target="https://nb.newhouse.fang.com/loupan/2011123148/housedetail.htm" TargetMode="External"/><Relationship Id="rId1" Type="http://schemas.openxmlformats.org/officeDocument/2006/relationships/hyperlink" Target="https://xz.newhouse.fang.com/loupan/1811199300.htm" TargetMode="External"/><Relationship Id="rId6" Type="http://schemas.openxmlformats.org/officeDocument/2006/relationships/hyperlink" Target="https://newhouse.fang.com/loupan/1010123427.htm" TargetMode="External"/><Relationship Id="rId11" Type="http://schemas.openxmlformats.org/officeDocument/2006/relationships/hyperlink" Target="https://km.newhouse.fang.com/loupan/3410167940.htm" TargetMode="External"/><Relationship Id="rId24" Type="http://schemas.openxmlformats.org/officeDocument/2006/relationships/hyperlink" Target="https://tc.newhouse.fang.com/loupan/1828114860/housedetail.htm" TargetMode="External"/><Relationship Id="rId32" Type="http://schemas.openxmlformats.org/officeDocument/2006/relationships/hyperlink" Target="https://changshu.newhouse.fang.com/loupan/1825138528.htm" TargetMode="External"/><Relationship Id="rId37" Type="http://schemas.openxmlformats.org/officeDocument/2006/relationships/hyperlink" Target="https://taian.newhouse.fang.com/loupan/2419165771/housedetail.htm" TargetMode="External"/><Relationship Id="rId40" Type="http://schemas.openxmlformats.org/officeDocument/2006/relationships/hyperlink" Target="https://jx.fang.anjuke.com/loupan/441332.html?from=loupan_tab" TargetMode="External"/><Relationship Id="rId45" Type="http://schemas.openxmlformats.org/officeDocument/2006/relationships/hyperlink" Target="https://nb.newhouse.fang.com/loupan/2011122176/housedetail.htm" TargetMode="External"/><Relationship Id="rId5" Type="http://schemas.openxmlformats.org/officeDocument/2006/relationships/hyperlink" Target="https://cd.newhouse.fang.com/loupan/3210159992/housedetail.htm" TargetMode="External"/><Relationship Id="rId15" Type="http://schemas.openxmlformats.org/officeDocument/2006/relationships/hyperlink" Target="https://nt.newhouse.fang.com/loupan/1818148414.htm" TargetMode="External"/><Relationship Id="rId23" Type="http://schemas.openxmlformats.org/officeDocument/2006/relationships/hyperlink" Target="https://nb.newhouse.fang.com/loupan/2011123128/housedetail.htm" TargetMode="External"/><Relationship Id="rId28" Type="http://schemas.openxmlformats.org/officeDocument/2006/relationships/hyperlink" Target="https://sh.newhouse.fang.com/loupan/1210126230.htm" TargetMode="External"/><Relationship Id="rId36" Type="http://schemas.openxmlformats.org/officeDocument/2006/relationships/hyperlink" Target="https://yancheng.newhouse.fang.com/loupan/1815175888/housedetail.htm" TargetMode="External"/><Relationship Id="rId10" Type="http://schemas.openxmlformats.org/officeDocument/2006/relationships/hyperlink" Target="https://sy.newhouse.fang.com/loupan/1617155493/housedetail.htm" TargetMode="External"/><Relationship Id="rId19" Type="http://schemas.openxmlformats.org/officeDocument/2006/relationships/hyperlink" Target="https://ahsuzhou.newhouse.fang.com/loupan/2121127992/housedetail.htm" TargetMode="External"/><Relationship Id="rId31" Type="http://schemas.openxmlformats.org/officeDocument/2006/relationships/hyperlink" Target="https://zhenjiang.newhouse.fang.com/loupan/1819143362/housedetail.htm" TargetMode="External"/><Relationship Id="rId44" Type="http://schemas.openxmlformats.org/officeDocument/2006/relationships/hyperlink" Target="https://jx.newhouse.fang.com/loupan/2014164848/dongtai/" TargetMode="External"/><Relationship Id="rId4" Type="http://schemas.openxmlformats.org/officeDocument/2006/relationships/hyperlink" Target="https://cd.newhouse.fang.com/loupan/3210161590.htm" TargetMode="External"/><Relationship Id="rId9" Type="http://schemas.openxmlformats.org/officeDocument/2006/relationships/hyperlink" Target="https://cd.news.fang.com/house/3210160086_8243389.htm" TargetMode="External"/><Relationship Id="rId14" Type="http://schemas.openxmlformats.org/officeDocument/2006/relationships/hyperlink" Target="https://xian.newhouse.fang.com/loupan/3610190684/dongtai/" TargetMode="External"/><Relationship Id="rId22" Type="http://schemas.openxmlformats.org/officeDocument/2006/relationships/hyperlink" Target="https://sy.newhouse.fang.com/loupan/1617155495/dongtai/" TargetMode="External"/><Relationship Id="rId27" Type="http://schemas.openxmlformats.org/officeDocument/2006/relationships/hyperlink" Target="https://cd.newhouse.fang.com/loupan/3210160086/dongtai/" TargetMode="External"/><Relationship Id="rId30" Type="http://schemas.openxmlformats.org/officeDocument/2006/relationships/hyperlink" Target="https://changshu.newhouse.fang.com/loupan/1825138510.htm" TargetMode="External"/><Relationship Id="rId35" Type="http://schemas.openxmlformats.org/officeDocument/2006/relationships/hyperlink" Target="https://kaifeng.newhouse.fang.com/loupan/2511129539/housedetail.htm" TargetMode="External"/><Relationship Id="rId43" Type="http://schemas.openxmlformats.org/officeDocument/2006/relationships/hyperlink" Target="https://nb.newhouse.fang.com/loupan/2011123148/housedetail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anjing.newhouse.fang.com/loupan/1810178642/dongtai/" TargetMode="External"/><Relationship Id="rId13" Type="http://schemas.openxmlformats.org/officeDocument/2006/relationships/hyperlink" Target="https://taian.newhouse.fang.com/loupan/2419810057/dongtai/" TargetMode="External"/><Relationship Id="rId3" Type="http://schemas.openxmlformats.org/officeDocument/2006/relationships/hyperlink" Target="https://qd.newhouse.fang.com/loupan/2411502193.htm" TargetMode="External"/><Relationship Id="rId7" Type="http://schemas.openxmlformats.org/officeDocument/2006/relationships/hyperlink" Target="https://wuhan.newhouse.fang.com/loupan/2610153922.htm" TargetMode="External"/><Relationship Id="rId12" Type="http://schemas.openxmlformats.org/officeDocument/2006/relationships/hyperlink" Target="https://yk.newhouse.fang.com/loupan/1611705127/dongtai/" TargetMode="External"/><Relationship Id="rId2" Type="http://schemas.openxmlformats.org/officeDocument/2006/relationships/hyperlink" Target="https://wuhan.newhouse.fang.com/loupan/2610153922.htm" TargetMode="External"/><Relationship Id="rId16" Type="http://schemas.openxmlformats.org/officeDocument/2006/relationships/hyperlink" Target="https://nanjing.newhouse.fang.com/loupan/1810178250/housedetail.htm" TargetMode="External"/><Relationship Id="rId1" Type="http://schemas.openxmlformats.org/officeDocument/2006/relationships/hyperlink" Target="https://nanjing.newhouse.fang.com/loupan/1810178208.htm" TargetMode="External"/><Relationship Id="rId6" Type="http://schemas.openxmlformats.org/officeDocument/2006/relationships/hyperlink" Target="https://wuhan.newhouse.fang.com/loupan/2610153898.htm" TargetMode="External"/><Relationship Id="rId11" Type="http://schemas.openxmlformats.org/officeDocument/2006/relationships/hyperlink" Target="https://hn.newhouse.fang.com/loupan/5010991846/dongtai/" TargetMode="External"/><Relationship Id="rId5" Type="http://schemas.openxmlformats.org/officeDocument/2006/relationships/hyperlink" Target="https://tj.newhouse.fang.com/loupan/1110714805/dongtai/" TargetMode="External"/><Relationship Id="rId15" Type="http://schemas.openxmlformats.org/officeDocument/2006/relationships/hyperlink" Target="https://qj.newhouse.fang.com/loupan/2625168316/dongtai/" TargetMode="External"/><Relationship Id="rId10" Type="http://schemas.openxmlformats.org/officeDocument/2006/relationships/hyperlink" Target="https://heze.newhouse.fang.com/loupan/2426129577/dongtai/" TargetMode="External"/><Relationship Id="rId4" Type="http://schemas.openxmlformats.org/officeDocument/2006/relationships/hyperlink" Target="https://hz.newhouse.fang.com/loupan/2010186986.htm" TargetMode="External"/><Relationship Id="rId9" Type="http://schemas.openxmlformats.org/officeDocument/2006/relationships/hyperlink" Target="https://changshu.newhouse.fang.com/loupan/1826089076/housedetail.htm" TargetMode="External"/><Relationship Id="rId14" Type="http://schemas.openxmlformats.org/officeDocument/2006/relationships/hyperlink" Target="https://ts.newhouse.fang.com/loupan/1316739591.ht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yz.newhouse.fang.com/loupan/1816126434/dongtai/" TargetMode="External"/><Relationship Id="rId13" Type="http://schemas.openxmlformats.org/officeDocument/2006/relationships/hyperlink" Target="https://km.newhouse.fang.com/loupan/3410168012.htm" TargetMode="External"/><Relationship Id="rId18" Type="http://schemas.openxmlformats.org/officeDocument/2006/relationships/hyperlink" Target="https://zjg.newhouse.fang.com/loupan/1827148634/housedetail.htm" TargetMode="External"/><Relationship Id="rId26" Type="http://schemas.openxmlformats.org/officeDocument/2006/relationships/hyperlink" Target="https://shangqiu.newhouse.fang.com/loupan/2523199179/housedetail.htm" TargetMode="External"/><Relationship Id="rId39" Type="http://schemas.openxmlformats.org/officeDocument/2006/relationships/hyperlink" Target="https://nt.loupan.com/dongtai/7118146.html" TargetMode="External"/><Relationship Id="rId3" Type="http://schemas.openxmlformats.org/officeDocument/2006/relationships/hyperlink" Target="https://house.xz.xafc.com/41253/xinxi.html" TargetMode="External"/><Relationship Id="rId21" Type="http://schemas.openxmlformats.org/officeDocument/2006/relationships/hyperlink" Target="https://xian.newhouse.fang.com/house/3610190354/dongtai_2,2.htm" TargetMode="External"/><Relationship Id="rId34" Type="http://schemas.openxmlformats.org/officeDocument/2006/relationships/hyperlink" Target="https://pinghu.newhouse.fang.com/loupan/2033168528/housedetail.htm" TargetMode="External"/><Relationship Id="rId42" Type="http://schemas.openxmlformats.org/officeDocument/2006/relationships/hyperlink" Target="https://nb.newhouse.fang.com/loupan/2011123148/housedetail.htm" TargetMode="External"/><Relationship Id="rId7" Type="http://schemas.openxmlformats.org/officeDocument/2006/relationships/hyperlink" Target="https://changshu.newhouse.fang.com/loupan/1825138538/housedetail.htm" TargetMode="External"/><Relationship Id="rId12" Type="http://schemas.openxmlformats.org/officeDocument/2006/relationships/hyperlink" Target="https://km.newhouse.fang.com/loupan/3410167940.htm" TargetMode="External"/><Relationship Id="rId17" Type="http://schemas.openxmlformats.org/officeDocument/2006/relationships/hyperlink" Target="https://nanjing.newhouse.fang.com/loupan/1810178758/housedetail.htm" TargetMode="External"/><Relationship Id="rId25" Type="http://schemas.openxmlformats.org/officeDocument/2006/relationships/hyperlink" Target="https://tc.newhouse.fang.com/loupan/1828114860/housedetail.htm" TargetMode="External"/><Relationship Id="rId33" Type="http://schemas.openxmlformats.org/officeDocument/2006/relationships/hyperlink" Target="https://changshu.newhouse.fang.com/loupan/1825138528.htm" TargetMode="External"/><Relationship Id="rId38" Type="http://schemas.openxmlformats.org/officeDocument/2006/relationships/hyperlink" Target="https://taian.newhouse.fang.com/loupan/2419165771/housedetail.htm" TargetMode="External"/><Relationship Id="rId46" Type="http://schemas.openxmlformats.org/officeDocument/2006/relationships/hyperlink" Target="https://nb.newhouse.fang.com/loupan/2011122176/housedetail.htm" TargetMode="External"/><Relationship Id="rId2" Type="http://schemas.openxmlformats.org/officeDocument/2006/relationships/hyperlink" Target="https://xz.loupan.com/dongtai/7072980.html" TargetMode="External"/><Relationship Id="rId16" Type="http://schemas.openxmlformats.org/officeDocument/2006/relationships/hyperlink" Target="https://nt.newhouse.fang.com/loupan/1818148414.htm" TargetMode="External"/><Relationship Id="rId20" Type="http://schemas.openxmlformats.org/officeDocument/2006/relationships/hyperlink" Target="https://ahsuzhou.newhouse.fang.com/loupan/2121127992/housedetail.htm" TargetMode="External"/><Relationship Id="rId29" Type="http://schemas.openxmlformats.org/officeDocument/2006/relationships/hyperlink" Target="https://sh.newhouse.fang.com/loupan/1210126230.htm" TargetMode="External"/><Relationship Id="rId41" Type="http://schemas.openxmlformats.org/officeDocument/2006/relationships/hyperlink" Target="https://jx.fang.anjuke.com/loupan/441332.html?from=loupan_tab" TargetMode="External"/><Relationship Id="rId1" Type="http://schemas.openxmlformats.org/officeDocument/2006/relationships/hyperlink" Target="https://xz.newhouse.fang.com/loupan/1811199300.htm" TargetMode="External"/><Relationship Id="rId6" Type="http://schemas.openxmlformats.org/officeDocument/2006/relationships/hyperlink" Target="https://newhouse.fang.com/loupan/1010123427.htm" TargetMode="External"/><Relationship Id="rId11" Type="http://schemas.openxmlformats.org/officeDocument/2006/relationships/hyperlink" Target="https://sy.newhouse.fang.com/loupan/1617155493/housedetail.htm" TargetMode="External"/><Relationship Id="rId24" Type="http://schemas.openxmlformats.org/officeDocument/2006/relationships/hyperlink" Target="https://nb.newhouse.fang.com/loupan/2011123128/housedetail.htm" TargetMode="External"/><Relationship Id="rId32" Type="http://schemas.openxmlformats.org/officeDocument/2006/relationships/hyperlink" Target="https://zhenjiang.newhouse.fang.com/loupan/1819143362/housedetail.htm" TargetMode="External"/><Relationship Id="rId37" Type="http://schemas.openxmlformats.org/officeDocument/2006/relationships/hyperlink" Target="https://yancheng.newhouse.fang.com/loupan/1815175888/housedetail.htm" TargetMode="External"/><Relationship Id="rId40" Type="http://schemas.openxmlformats.org/officeDocument/2006/relationships/hyperlink" Target="https://tc.newhouse.fang.com/loupan/1828114868/housedetail.htm" TargetMode="External"/><Relationship Id="rId45" Type="http://schemas.openxmlformats.org/officeDocument/2006/relationships/hyperlink" Target="https://jx.newhouse.fang.com/loupan/2014164848/dongtai/" TargetMode="External"/><Relationship Id="rId5" Type="http://schemas.openxmlformats.org/officeDocument/2006/relationships/hyperlink" Target="https://cd.newhouse.fang.com/loupan/3210159992/housedetail.htm" TargetMode="External"/><Relationship Id="rId15" Type="http://schemas.openxmlformats.org/officeDocument/2006/relationships/hyperlink" Target="https://xian.newhouse.fang.com/loupan/3610190684/dongtai/" TargetMode="External"/><Relationship Id="rId23" Type="http://schemas.openxmlformats.org/officeDocument/2006/relationships/hyperlink" Target="https://sy.newhouse.fang.com/loupan/1617155495/dongtai/" TargetMode="External"/><Relationship Id="rId28" Type="http://schemas.openxmlformats.org/officeDocument/2006/relationships/hyperlink" Target="https://cd.newhouse.fang.com/loupan/3210160086/dongtai/" TargetMode="External"/><Relationship Id="rId36" Type="http://schemas.openxmlformats.org/officeDocument/2006/relationships/hyperlink" Target="https://kaifeng.newhouse.fang.com/loupan/2511129539/housedetail.htm" TargetMode="External"/><Relationship Id="rId10" Type="http://schemas.openxmlformats.org/officeDocument/2006/relationships/hyperlink" Target="https://cd.news.fang.com/house/3210160086_8243389.htm" TargetMode="External"/><Relationship Id="rId19" Type="http://schemas.openxmlformats.org/officeDocument/2006/relationships/hyperlink" Target="https://wf.newhouse.fang.com/loupan/2415199657/housedetail.htm" TargetMode="External"/><Relationship Id="rId31" Type="http://schemas.openxmlformats.org/officeDocument/2006/relationships/hyperlink" Target="https://changshu.newhouse.fang.com/loupan/1825138510.htm" TargetMode="External"/><Relationship Id="rId44" Type="http://schemas.openxmlformats.org/officeDocument/2006/relationships/hyperlink" Target="https://nb.newhouse.fang.com/loupan/2011123148/housedetail.htm" TargetMode="External"/><Relationship Id="rId4" Type="http://schemas.openxmlformats.org/officeDocument/2006/relationships/hyperlink" Target="https://cd.newhouse.fang.com/loupan/3210161590.htm" TargetMode="External"/><Relationship Id="rId9" Type="http://schemas.openxmlformats.org/officeDocument/2006/relationships/hyperlink" Target="https://zhenjiang.newhouse.fang.com/loupan/1819143256/housedetail.htm" TargetMode="External"/><Relationship Id="rId14" Type="http://schemas.openxmlformats.org/officeDocument/2006/relationships/hyperlink" Target="https://cd.newhouse.fang.com/loupan/3210160128/housedetail.htm" TargetMode="External"/><Relationship Id="rId22" Type="http://schemas.openxmlformats.org/officeDocument/2006/relationships/hyperlink" Target="https://xian.newhouse.fang.com/loupan/3610190446/housedetail.htm" TargetMode="External"/><Relationship Id="rId27" Type="http://schemas.openxmlformats.org/officeDocument/2006/relationships/hyperlink" Target="https://fs.newhouse.fang.com/loupan/2822156694/housedetail.htm" TargetMode="External"/><Relationship Id="rId30" Type="http://schemas.openxmlformats.org/officeDocument/2006/relationships/hyperlink" Target="https://hd.newhouse.fang.com/loupan/1311184081.htm" TargetMode="External"/><Relationship Id="rId35" Type="http://schemas.openxmlformats.org/officeDocument/2006/relationships/hyperlink" Target="https://nb.newhouse.fang.com/loupan/2011122906/housedetail.htm" TargetMode="External"/><Relationship Id="rId43" Type="http://schemas.openxmlformats.org/officeDocument/2006/relationships/hyperlink" Target="https://nb.newhouse.fang.com/loupan/2011123148/housedetail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xian.newhouse.fang.com/loupan/3610190668/dongtai/" TargetMode="External"/><Relationship Id="rId13" Type="http://schemas.openxmlformats.org/officeDocument/2006/relationships/hyperlink" Target="https://cq.newhouse.fang.com/loupan/3110121444/housedetail.htm" TargetMode="External"/><Relationship Id="rId18" Type="http://schemas.openxmlformats.org/officeDocument/2006/relationships/hyperlink" Target="https://bd.newhouse.fang.com/loupan/1313195955/housedetail.htm" TargetMode="External"/><Relationship Id="rId26" Type="http://schemas.openxmlformats.org/officeDocument/2006/relationships/hyperlink" Target="https://kaifeng.newhouse.fang.com/loupan/2511129607/dongtai/" TargetMode="External"/><Relationship Id="rId39" Type="http://schemas.openxmlformats.org/officeDocument/2006/relationships/hyperlink" Target="https://meishan.newhouse.fang.com/loupan/3227185840/housedetail.htm" TargetMode="External"/><Relationship Id="rId3" Type="http://schemas.openxmlformats.org/officeDocument/2006/relationships/hyperlink" Target="https://cq.newhouse.fang.com/loupan/3110121704/housedetail.htm" TargetMode="External"/><Relationship Id="rId21" Type="http://schemas.openxmlformats.org/officeDocument/2006/relationships/hyperlink" Target="https://www.fang.com/xinfang/yt-2416163675/" TargetMode="External"/><Relationship Id="rId34" Type="http://schemas.openxmlformats.org/officeDocument/2006/relationships/hyperlink" Target="https://fs.newhouse.fang.com/loupan/2822156778/dongtai/" TargetMode="External"/><Relationship Id="rId42" Type="http://schemas.openxmlformats.org/officeDocument/2006/relationships/hyperlink" Target="https://hf.newhouse.fang.com/loupan/2110177794/dongtai/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zhenjiang.newhouse.fang.com/loupan/1819143858/housedetail.htm" TargetMode="External"/><Relationship Id="rId12" Type="http://schemas.openxmlformats.org/officeDocument/2006/relationships/hyperlink" Target="https://zjg.newhouse.fang.com/loupan/1827148678/housedetail.htm" TargetMode="External"/><Relationship Id="rId17" Type="http://schemas.openxmlformats.org/officeDocument/2006/relationships/hyperlink" Target="https://huizhou.newhouse.fang.com/loupan/2817163796/housedetail.htm" TargetMode="External"/><Relationship Id="rId25" Type="http://schemas.openxmlformats.org/officeDocument/2006/relationships/hyperlink" Target="https://tz.newhouse.fang.com/loupan/2019201220/housedetail.htm" TargetMode="External"/><Relationship Id="rId33" Type="http://schemas.openxmlformats.org/officeDocument/2006/relationships/hyperlink" Target="http://ts.house.163.com/21/0401/07/G6FU70F60240987C.html" TargetMode="External"/><Relationship Id="rId38" Type="http://schemas.openxmlformats.org/officeDocument/2006/relationships/hyperlink" Target="https://weihai.newhouse.fang.com/loupan/2417163031/housedetail.htm" TargetMode="External"/><Relationship Id="rId46" Type="http://schemas.openxmlformats.org/officeDocument/2006/relationships/hyperlink" Target="https://zb.newhouse.fang.com/loupan/2412175869/housedetail.htm" TargetMode="External"/><Relationship Id="rId2" Type="http://schemas.openxmlformats.org/officeDocument/2006/relationships/hyperlink" Target="https://hf.newhouse.fang.com/loupan/2111276714/dongtai/" TargetMode="External"/><Relationship Id="rId16" Type="http://schemas.openxmlformats.org/officeDocument/2006/relationships/hyperlink" Target="https://bengbu.newhouse.fang.com/loupan/2115200842.htm" TargetMode="External"/><Relationship Id="rId20" Type="http://schemas.openxmlformats.org/officeDocument/2006/relationships/hyperlink" Target="https://bozhou.newhouse.fang.com/loupan/2126179118.htm" TargetMode="External"/><Relationship Id="rId29" Type="http://schemas.openxmlformats.org/officeDocument/2006/relationships/hyperlink" Target="https://www.fang.com/xinfang/nb-2011123720/" TargetMode="External"/><Relationship Id="rId41" Type="http://schemas.openxmlformats.org/officeDocument/2006/relationships/hyperlink" Target="https://tz.newhouse.fang.com/loupan/2019201108/housedetail.htm" TargetMode="External"/><Relationship Id="rId1" Type="http://schemas.openxmlformats.org/officeDocument/2006/relationships/hyperlink" Target="https://sx.newhouse.fang.com/loupan/2015181608.htm" TargetMode="External"/><Relationship Id="rId6" Type="http://schemas.openxmlformats.org/officeDocument/2006/relationships/hyperlink" Target="https://xuchang.newhouse.fang.com/loupan/2519156325/housedetail.htm" TargetMode="External"/><Relationship Id="rId11" Type="http://schemas.openxmlformats.org/officeDocument/2006/relationships/hyperlink" Target="https://jining.newhouse.fang.com/loupan/2418171035/housedetail.htm" TargetMode="External"/><Relationship Id="rId24" Type="http://schemas.openxmlformats.org/officeDocument/2006/relationships/hyperlink" Target="https://yt.newhouse.fang.com/loupan/2416163207/housedetail.htm" TargetMode="External"/><Relationship Id="rId32" Type="http://schemas.openxmlformats.org/officeDocument/2006/relationships/hyperlink" Target="https://sy.newhouse.fang.com/loupan/1617155583/housedetail.htm" TargetMode="External"/><Relationship Id="rId37" Type="http://schemas.openxmlformats.org/officeDocument/2006/relationships/hyperlink" Target="https://changde.newhouse.fang.com/loupan/2716170650/housedetail.htm" TargetMode="External"/><Relationship Id="rId40" Type="http://schemas.openxmlformats.org/officeDocument/2006/relationships/hyperlink" Target="https://meizhou.newhouse.fang.com/loupan/2816118274/housedetail.htm" TargetMode="External"/><Relationship Id="rId45" Type="http://schemas.openxmlformats.org/officeDocument/2006/relationships/hyperlink" Target="https://zb.newhouse.fang.com/loupan/2412175773.htm" TargetMode="External"/><Relationship Id="rId5" Type="http://schemas.openxmlformats.org/officeDocument/2006/relationships/hyperlink" Target="https://gy.newhouse.fang.com/loupan/3314141326/housedetail.htm" TargetMode="External"/><Relationship Id="rId15" Type="http://schemas.openxmlformats.org/officeDocument/2006/relationships/hyperlink" Target="https://nb.newhouse.fang.com/loupan/2011123230/housedetail.htm" TargetMode="External"/><Relationship Id="rId23" Type="http://schemas.openxmlformats.org/officeDocument/2006/relationships/hyperlink" Target="https://lyg.newhouse.fang.com/loupan/1812138104/dongtai/" TargetMode="External"/><Relationship Id="rId28" Type="http://schemas.openxmlformats.org/officeDocument/2006/relationships/hyperlink" Target="https://nb.newhouse.fang.com/loupan/2011123052/dongtai/" TargetMode="External"/><Relationship Id="rId36" Type="http://schemas.openxmlformats.org/officeDocument/2006/relationships/hyperlink" Target="https://jining.newhouse.fang.com/loupan/2418171023.htm" TargetMode="External"/><Relationship Id="rId10" Type="http://schemas.openxmlformats.org/officeDocument/2006/relationships/hyperlink" Target="https://nn.newhouse.fang.com/loupan/2910195566/housedetail.htm" TargetMode="External"/><Relationship Id="rId19" Type="http://schemas.openxmlformats.org/officeDocument/2006/relationships/hyperlink" Target="https://www.fang.com/xinfang/km-3410168252/" TargetMode="External"/><Relationship Id="rId31" Type="http://schemas.openxmlformats.org/officeDocument/2006/relationships/hyperlink" Target="https://sx.newhouse.fang.com/loupan/2015182012/housedetail.htm" TargetMode="External"/><Relationship Id="rId44" Type="http://schemas.openxmlformats.org/officeDocument/2006/relationships/hyperlink" Target="https://jining.newhouse.fang.com/loupan/2418171021/housedetail.htm" TargetMode="External"/><Relationship Id="rId4" Type="http://schemas.openxmlformats.org/officeDocument/2006/relationships/hyperlink" Target="https://fs.newhouse.fang.com/loupan/2822156666/housedetail.htm" TargetMode="External"/><Relationship Id="rId9" Type="http://schemas.openxmlformats.org/officeDocument/2006/relationships/hyperlink" Target="https://tz.newhouse.fang.com/loupan/2019201098/housedetail.htm" TargetMode="External"/><Relationship Id="rId14" Type="http://schemas.openxmlformats.org/officeDocument/2006/relationships/hyperlink" Target="https://xt.newhouse.fang.com/loupan/2712115948/housedetail.htm" TargetMode="External"/><Relationship Id="rId22" Type="http://schemas.openxmlformats.org/officeDocument/2006/relationships/hyperlink" Target="https://lyg.newhouse.fang.com/loupan/1812138104/dongtai/" TargetMode="External"/><Relationship Id="rId27" Type="http://schemas.openxmlformats.org/officeDocument/2006/relationships/hyperlink" Target="https://zb.newhouse.fang.com/loupan/2412175967/dongtai/" TargetMode="External"/><Relationship Id="rId30" Type="http://schemas.openxmlformats.org/officeDocument/2006/relationships/hyperlink" Target="https://km.newhouse.fang.com/loupan/3410168094/housedetail.htm" TargetMode="External"/><Relationship Id="rId35" Type="http://schemas.openxmlformats.org/officeDocument/2006/relationships/hyperlink" Target="https://nanchong.newhouse.fang.com/loupan/3220186266.htm" TargetMode="External"/><Relationship Id="rId43" Type="http://schemas.openxmlformats.org/officeDocument/2006/relationships/hyperlink" Target="https://fz.newhouse.fang.com/loupan/2211151688/housedetail.ht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jieyang.newhouse.fang.com/loupan/2830160934.htm" TargetMode="External"/><Relationship Id="rId18" Type="http://schemas.openxmlformats.org/officeDocument/2006/relationships/hyperlink" Target="https://qd.newhouse.fang.com/loupan/2411123099.htm" TargetMode="External"/><Relationship Id="rId26" Type="http://schemas.openxmlformats.org/officeDocument/2006/relationships/hyperlink" Target="http://ganglongzhongnanhanlinshoufu.fang.0513.org/info.html" TargetMode="External"/><Relationship Id="rId39" Type="http://schemas.openxmlformats.org/officeDocument/2006/relationships/hyperlink" Target="https://jy.newhouse.fang.com/loupan/1829123636/housedetail.htm" TargetMode="External"/><Relationship Id="rId21" Type="http://schemas.openxmlformats.org/officeDocument/2006/relationships/hyperlink" Target="https://cq.newhouse.fang.com/loupan/3110123340/housedetail.htm" TargetMode="External"/><Relationship Id="rId34" Type="http://schemas.openxmlformats.org/officeDocument/2006/relationships/hyperlink" Target="https://nanchong.newhouse.fang.com/loupan/3220186492/housedetail.htm" TargetMode="External"/><Relationship Id="rId42" Type="http://schemas.openxmlformats.org/officeDocument/2006/relationships/hyperlink" Target="https://sx.newhouse.fang.com/loupan/2015182022/housedetail.htm" TargetMode="External"/><Relationship Id="rId47" Type="http://schemas.openxmlformats.org/officeDocument/2006/relationships/hyperlink" Target="https://nb.newhouse.fang.com/house/2011123956/dongtai_1,1.htm" TargetMode="External"/><Relationship Id="rId50" Type="http://schemas.openxmlformats.org/officeDocument/2006/relationships/hyperlink" Target="https://cq.focus.cn/loupan/110126912/xiangqing.html" TargetMode="External"/><Relationship Id="rId55" Type="http://schemas.openxmlformats.org/officeDocument/2006/relationships/hyperlink" Target="https://st.newhouse.fang.com/loupan/2813135700/housedetail.htm" TargetMode="External"/><Relationship Id="rId63" Type="http://schemas.openxmlformats.org/officeDocument/2006/relationships/hyperlink" Target="https://xm.newhouse.fang.com/loupan/2212126284/housedetail.htm" TargetMode="External"/><Relationship Id="rId68" Type="http://schemas.openxmlformats.org/officeDocument/2006/relationships/hyperlink" Target="https://sy.newhouse.fang.com/loupan/1617156145/housedetail.htm" TargetMode="External"/><Relationship Id="rId7" Type="http://schemas.openxmlformats.org/officeDocument/2006/relationships/hyperlink" Target="https://xm.newhouse.fang.com/loupan/2212125940.htm" TargetMode="External"/><Relationship Id="rId2" Type="http://schemas.openxmlformats.org/officeDocument/2006/relationships/hyperlink" Target="https://quanzhou.focus.cn/loupan/110119118/dongtai/6083300.html" TargetMode="External"/><Relationship Id="rId16" Type="http://schemas.openxmlformats.org/officeDocument/2006/relationships/hyperlink" Target="https://nn.newhouse.fang.com/house/2910195758/dongtai_1,1.htm" TargetMode="External"/><Relationship Id="rId29" Type="http://schemas.openxmlformats.org/officeDocument/2006/relationships/hyperlink" Target="https://nt.newhouse.fang.com/loupan/1818148600/housedetail.htm" TargetMode="External"/><Relationship Id="rId1" Type="http://schemas.openxmlformats.org/officeDocument/2006/relationships/hyperlink" Target="https://linyi.newhouse.fang.com/loupan/2423155191.htm" TargetMode="External"/><Relationship Id="rId6" Type="http://schemas.openxmlformats.org/officeDocument/2006/relationships/hyperlink" Target="https://jn.newhouse.fang.com/house/2410176263/dongtai_1,1.htm" TargetMode="External"/><Relationship Id="rId11" Type="http://schemas.openxmlformats.org/officeDocument/2006/relationships/hyperlink" Target="https://zhenjiang.newhouse.fang.com/loupan/1819143996/dongtai/" TargetMode="External"/><Relationship Id="rId24" Type="http://schemas.openxmlformats.org/officeDocument/2006/relationships/hyperlink" Target="https://xian.newhouse.fang.com/loupan/3610191882/housedetail.htm" TargetMode="External"/><Relationship Id="rId32" Type="http://schemas.openxmlformats.org/officeDocument/2006/relationships/hyperlink" Target="https://baijiahao.baidu.com/s?id=1675896351286359484&amp;wfr=spider&amp;for=pc" TargetMode="External"/><Relationship Id="rId37" Type="http://schemas.openxmlformats.org/officeDocument/2006/relationships/hyperlink" Target="https://huaian.focus.cn/loupan/110125199/dongtai/4/" TargetMode="External"/><Relationship Id="rId40" Type="http://schemas.openxmlformats.org/officeDocument/2006/relationships/hyperlink" Target="https://changde.newhouse.fang.com/loupan/2716170820/housedetail.htm" TargetMode="External"/><Relationship Id="rId45" Type="http://schemas.openxmlformats.org/officeDocument/2006/relationships/hyperlink" Target="https://huaian.newhouse.fang.com/loupan/1826201630/housedetail.htm" TargetMode="External"/><Relationship Id="rId53" Type="http://schemas.openxmlformats.org/officeDocument/2006/relationships/hyperlink" Target="https://zhenjiang.newhouse.fang.com/loupan/1819144288/housedetail.htm" TargetMode="External"/><Relationship Id="rId58" Type="http://schemas.openxmlformats.org/officeDocument/2006/relationships/hyperlink" Target="https://zb.newhouse.fang.com/loupan/2412175939/housedetail.htm" TargetMode="External"/><Relationship Id="rId66" Type="http://schemas.openxmlformats.org/officeDocument/2006/relationships/hyperlink" Target="https://haimen.newhouse.fang.com/loupan/1840176570/housedetail.htm" TargetMode="External"/><Relationship Id="rId5" Type="http://schemas.openxmlformats.org/officeDocument/2006/relationships/hyperlink" Target="https://xian.newhouse.fang.com/loupan/3610191416/housedetail.htm" TargetMode="External"/><Relationship Id="rId15" Type="http://schemas.openxmlformats.org/officeDocument/2006/relationships/hyperlink" Target="https://nt.newhouse.fang.com/loupan/1818148570/housedetail.htm" TargetMode="External"/><Relationship Id="rId23" Type="http://schemas.openxmlformats.org/officeDocument/2006/relationships/hyperlink" Target="http://xf.house.163.com/huzhou/CJRN.html" TargetMode="External"/><Relationship Id="rId28" Type="http://schemas.openxmlformats.org/officeDocument/2006/relationships/hyperlink" Target="https://huaian.newhouse.fang.com/loupan/1826201510.htm" TargetMode="External"/><Relationship Id="rId36" Type="http://schemas.openxmlformats.org/officeDocument/2006/relationships/hyperlink" Target="https://xian.newhouse.fang.com/loupan/3610191574/housedetail.htm" TargetMode="External"/><Relationship Id="rId49" Type="http://schemas.openxmlformats.org/officeDocument/2006/relationships/hyperlink" Target="https://jh.newhouse.fang.com/loupan/2016200680/housedetail.htm" TargetMode="External"/><Relationship Id="rId57" Type="http://schemas.openxmlformats.org/officeDocument/2006/relationships/hyperlink" Target="https://wz.newhouse.fang.com/loupan/2012202892/dongtai/" TargetMode="External"/><Relationship Id="rId61" Type="http://schemas.openxmlformats.org/officeDocument/2006/relationships/hyperlink" Target="https://huizhou.focus.cn/loupan/110128059.html" TargetMode="External"/><Relationship Id="rId10" Type="http://schemas.openxmlformats.org/officeDocument/2006/relationships/hyperlink" Target="https://suzhou.newhouse.fang.com/loupan/1822201172/housedetail.htm" TargetMode="External"/><Relationship Id="rId19" Type="http://schemas.openxmlformats.org/officeDocument/2006/relationships/hyperlink" Target="https://haining.newhouse.fang.com/loupan/2024133600/housedetail.htm" TargetMode="External"/><Relationship Id="rId31" Type="http://schemas.openxmlformats.org/officeDocument/2006/relationships/hyperlink" Target="https://nt.newhouse.fang.com/loupan/1818148616/housedetail.htm" TargetMode="External"/><Relationship Id="rId44" Type="http://schemas.openxmlformats.org/officeDocument/2006/relationships/hyperlink" Target="https://yancheng.newhouse.fang.com/loupan/1815201256/housedetail.htm" TargetMode="External"/><Relationship Id="rId52" Type="http://schemas.openxmlformats.org/officeDocument/2006/relationships/hyperlink" Target="https://xz.newhouse.fang.com/loupan/1811200318/housedetail.htm" TargetMode="External"/><Relationship Id="rId60" Type="http://schemas.openxmlformats.org/officeDocument/2006/relationships/hyperlink" Target="https://nt.newhouse.fang.com/loupan/1818148648/housedetail.htm" TargetMode="External"/><Relationship Id="rId65" Type="http://schemas.openxmlformats.org/officeDocument/2006/relationships/hyperlink" Target="https://haimen.newhouse.fang.com/loupan/1840176526/housedetail.htm" TargetMode="External"/><Relationship Id="rId4" Type="http://schemas.openxmlformats.org/officeDocument/2006/relationships/hyperlink" Target="https://hz.focus.cn/loupan/110125520/xiangqing.html" TargetMode="External"/><Relationship Id="rId9" Type="http://schemas.openxmlformats.org/officeDocument/2006/relationships/hyperlink" Target="https://nb.newhouse.fang.com/loupan/2011123956/housedetail.htm" TargetMode="External"/><Relationship Id="rId14" Type="http://schemas.openxmlformats.org/officeDocument/2006/relationships/hyperlink" Target="https://nt.newhouse.fang.com/house/1818148568/dongtai_1,1.htm" TargetMode="External"/><Relationship Id="rId22" Type="http://schemas.openxmlformats.org/officeDocument/2006/relationships/hyperlink" Target="https://taian.newhouse.fang.com/loupan/2419165895/housedetail.htm" TargetMode="External"/><Relationship Id="rId27" Type="http://schemas.openxmlformats.org/officeDocument/2006/relationships/hyperlink" Target="https://sy.newhouse.fang.com/loupan/1617155813/housedetail.htm" TargetMode="External"/><Relationship Id="rId30" Type="http://schemas.openxmlformats.org/officeDocument/2006/relationships/hyperlink" Target="https://weihai.newhouse.fang.com/loupan/2417163115/dongtai/" TargetMode="External"/><Relationship Id="rId35" Type="http://schemas.openxmlformats.org/officeDocument/2006/relationships/hyperlink" Target="http://www.qjfang.com/4536/xiangqing.html" TargetMode="External"/><Relationship Id="rId43" Type="http://schemas.openxmlformats.org/officeDocument/2006/relationships/hyperlink" Target="https://jx.newhouse.fang.com/loupan/2014165172/housedetail.htm" TargetMode="External"/><Relationship Id="rId48" Type="http://schemas.openxmlformats.org/officeDocument/2006/relationships/hyperlink" Target="https://zj.newhouse.fang.com/loupan/2824200586/housedetail.htm" TargetMode="External"/><Relationship Id="rId56" Type="http://schemas.openxmlformats.org/officeDocument/2006/relationships/hyperlink" Target="https://deqing.newhouse.fang.com/loupan/2022113224/housedetail.htm" TargetMode="External"/><Relationship Id="rId64" Type="http://schemas.openxmlformats.org/officeDocument/2006/relationships/hyperlink" Target="https://ls.newhouse.fang.com/loupan/2020117434/housedetail.htm" TargetMode="External"/><Relationship Id="rId69" Type="http://schemas.openxmlformats.org/officeDocument/2006/relationships/hyperlink" Target="https://nt.focus.cn/loupan/110132969/dongtai/" TargetMode="External"/><Relationship Id="rId8" Type="http://schemas.openxmlformats.org/officeDocument/2006/relationships/hyperlink" Target="https://nt.focus.cn/loupan/110126365/dongtai/7831082.html" TargetMode="External"/><Relationship Id="rId51" Type="http://schemas.openxmlformats.org/officeDocument/2006/relationships/hyperlink" Target="https://xz.newhouse.fang.com/loupan/1811200318/housedetail.htm" TargetMode="External"/><Relationship Id="rId3" Type="http://schemas.openxmlformats.org/officeDocument/2006/relationships/hyperlink" Target="https://gy.newhouse.fang.com/house/3314141434/dongtai_1,1.htm" TargetMode="External"/><Relationship Id="rId12" Type="http://schemas.openxmlformats.org/officeDocument/2006/relationships/hyperlink" Target="https://hz.newhouse.fang.com/house/2010186776/dongtai_1,2.htm" TargetMode="External"/><Relationship Id="rId17" Type="http://schemas.openxmlformats.org/officeDocument/2006/relationships/hyperlink" Target="https://zhenjiang.newhouse.fang.com/loupan/1819143996/dongtai/" TargetMode="External"/><Relationship Id="rId25" Type="http://schemas.openxmlformats.org/officeDocument/2006/relationships/hyperlink" Target="http://yancheng.jiwu.com/detail/1279167.html" TargetMode="External"/><Relationship Id="rId33" Type="http://schemas.openxmlformats.org/officeDocument/2006/relationships/hyperlink" Target="https://tz.newhouse.fang.com/loupan/2019202724/housedetail.htm" TargetMode="External"/><Relationship Id="rId38" Type="http://schemas.openxmlformats.org/officeDocument/2006/relationships/hyperlink" Target="https://bengbu.newhouse.fang.com/loupan/2115200906/housedetail.htm" TargetMode="External"/><Relationship Id="rId46" Type="http://schemas.openxmlformats.org/officeDocument/2006/relationships/hyperlink" Target="https://huaian.newhouse.fang.com/loupan/1826201630/housedetail.htm" TargetMode="External"/><Relationship Id="rId59" Type="http://schemas.openxmlformats.org/officeDocument/2006/relationships/hyperlink" Target="https://quanzhou.focus.cn/loupan/110127663/xiangqing.html" TargetMode="External"/><Relationship Id="rId67" Type="http://schemas.openxmlformats.org/officeDocument/2006/relationships/hyperlink" Target="https://sx.loupan.com/info/7111616.html" TargetMode="External"/><Relationship Id="rId20" Type="http://schemas.openxmlformats.org/officeDocument/2006/relationships/hyperlink" Target="https://km.newhouse.fang.com/loupan/3410168432/housedetail.htm" TargetMode="External"/><Relationship Id="rId41" Type="http://schemas.openxmlformats.org/officeDocument/2006/relationships/hyperlink" Target="https://zhenjiang.newhouse.fang.com/loupan/1819144016/housedetail.htm" TargetMode="External"/><Relationship Id="rId54" Type="http://schemas.openxmlformats.org/officeDocument/2006/relationships/hyperlink" Target="https://nt.newhouse.fang.com/loupan/1818148456/housedetail.htm" TargetMode="External"/><Relationship Id="rId62" Type="http://schemas.openxmlformats.org/officeDocument/2006/relationships/hyperlink" Target="https://huizhou.focus.cn/loupan/110128059/xiangqing.html" TargetMode="External"/><Relationship Id="rId7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cd.newhouse.fang.com/loupan/3210163586/housedetail.htm" TargetMode="External"/><Relationship Id="rId18" Type="http://schemas.openxmlformats.org/officeDocument/2006/relationships/hyperlink" Target="https://xian.newhouse.fang.com/house/3610190668/dongtai_2,1.htm" TargetMode="External"/><Relationship Id="rId26" Type="http://schemas.openxmlformats.org/officeDocument/2006/relationships/hyperlink" Target="https://nb.newhouse.fang.com/loupan/2011124634.htm" TargetMode="External"/><Relationship Id="rId39" Type="http://schemas.openxmlformats.org/officeDocument/2006/relationships/hyperlink" Target="https://tz.fang.anjuke.com/loupan/canshu-486895.html?from=loupan_tab" TargetMode="External"/><Relationship Id="rId21" Type="http://schemas.openxmlformats.org/officeDocument/2006/relationships/hyperlink" Target="https://linyi.newhouse.fang.com/loupan/2423155393/dongtai/" TargetMode="External"/><Relationship Id="rId34" Type="http://schemas.openxmlformats.org/officeDocument/2006/relationships/hyperlink" Target="https://xz.newhouse.fang.com/house/1811200318/dongtai_1,2.htm" TargetMode="External"/><Relationship Id="rId42" Type="http://schemas.openxmlformats.org/officeDocument/2006/relationships/hyperlink" Target="https://nt.newhouse.fang.com/loupan/1818148768.htm" TargetMode="External"/><Relationship Id="rId47" Type="http://schemas.openxmlformats.org/officeDocument/2006/relationships/hyperlink" Target="https://nt.newhouse.fang.com/loupan/1818148896.htm" TargetMode="External"/><Relationship Id="rId50" Type="http://schemas.openxmlformats.org/officeDocument/2006/relationships/hyperlink" Target="https://changde.newhouse.fang.com/loupan/2716170918/housedetail.htm" TargetMode="External"/><Relationship Id="rId55" Type="http://schemas.openxmlformats.org/officeDocument/2006/relationships/hyperlink" Target="https://www.zhifang.com/project73626/" TargetMode="External"/><Relationship Id="rId7" Type="http://schemas.openxmlformats.org/officeDocument/2006/relationships/hyperlink" Target="https://jinjiang.newhouse.fang.com/loupan/2215169014.htm" TargetMode="External"/><Relationship Id="rId2" Type="http://schemas.openxmlformats.org/officeDocument/2006/relationships/hyperlink" Target="https://nn.newhouse.fang.com/house/2910195952/dongtai_1,2.htm" TargetMode="External"/><Relationship Id="rId16" Type="http://schemas.openxmlformats.org/officeDocument/2006/relationships/hyperlink" Target="https://xian.newhouse.fang.com/loupan/3610192042/dongtai/" TargetMode="External"/><Relationship Id="rId20" Type="http://schemas.openxmlformats.org/officeDocument/2006/relationships/hyperlink" Target="https://linyi.newhouse.fang.com/loupan/2423155335.htm" TargetMode="External"/><Relationship Id="rId29" Type="http://schemas.openxmlformats.org/officeDocument/2006/relationships/hyperlink" Target="https://nanjing.newhouse.fang.com/loupan/1810180540.htm" TargetMode="External"/><Relationship Id="rId41" Type="http://schemas.openxmlformats.org/officeDocument/2006/relationships/hyperlink" Target="https://leshan.newhouse.fang.com/house/1816127490.htm" TargetMode="External"/><Relationship Id="rId54" Type="http://schemas.openxmlformats.org/officeDocument/2006/relationships/hyperlink" Target="https://nb.newhouse.fang.com/loupan/2011124560/housedetail.htm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yt.newhouse.fang.com/loupan/2416163743.htm" TargetMode="External"/><Relationship Id="rId6" Type="http://schemas.openxmlformats.org/officeDocument/2006/relationships/hyperlink" Target="https://wz.newhouse.fang.com/loupan/2012202946.htm" TargetMode="External"/><Relationship Id="rId11" Type="http://schemas.openxmlformats.org/officeDocument/2006/relationships/hyperlink" Target="https://www.fang.com/xinfang/gy-3314142014/" TargetMode="External"/><Relationship Id="rId24" Type="http://schemas.openxmlformats.org/officeDocument/2006/relationships/hyperlink" Target="https://nb.newhouse.fang.com/loupan/2011124354.htm" TargetMode="External"/><Relationship Id="rId32" Type="http://schemas.openxmlformats.org/officeDocument/2006/relationships/hyperlink" Target="https://cz.newhouse.fang.com/loupan/1820158452/dongtai/" TargetMode="External"/><Relationship Id="rId37" Type="http://schemas.openxmlformats.org/officeDocument/2006/relationships/hyperlink" Target="https://www.fang.com/xinfang/tc-1828115014/" TargetMode="External"/><Relationship Id="rId40" Type="http://schemas.openxmlformats.org/officeDocument/2006/relationships/hyperlink" Target="https://jy.newhouse.fang.com/loupan/1829123684/dongtai/" TargetMode="External"/><Relationship Id="rId45" Type="http://schemas.openxmlformats.org/officeDocument/2006/relationships/hyperlink" Target="https://nt.newhouse.fang.com/loupan/1818148792/housedetail.htm" TargetMode="External"/><Relationship Id="rId53" Type="http://schemas.openxmlformats.org/officeDocument/2006/relationships/hyperlink" Target="https://hz.newhouse.fang.com/loupan/2010187340/housedetail.htm" TargetMode="External"/><Relationship Id="rId58" Type="http://schemas.openxmlformats.org/officeDocument/2006/relationships/hyperlink" Target="https://nt.newhouse.fang.com/loupan/1818149254/housedetail.htm" TargetMode="External"/><Relationship Id="rId5" Type="http://schemas.openxmlformats.org/officeDocument/2006/relationships/hyperlink" Target="https://wz.newhouse.fang.com/loupan/2012202854.htm" TargetMode="External"/><Relationship Id="rId15" Type="http://schemas.openxmlformats.org/officeDocument/2006/relationships/hyperlink" Target="https://danzhou.focus.cn/loupan/110137649/dongtai/" TargetMode="External"/><Relationship Id="rId23" Type="http://schemas.openxmlformats.org/officeDocument/2006/relationships/hyperlink" Target="https://huzhou.newhouse.fang.com/loupan/2013198136.htm" TargetMode="External"/><Relationship Id="rId28" Type="http://schemas.openxmlformats.org/officeDocument/2006/relationships/hyperlink" Target="https://sx.newhouse.fang.com/loupan/2015181916.htm" TargetMode="External"/><Relationship Id="rId36" Type="http://schemas.openxmlformats.org/officeDocument/2006/relationships/hyperlink" Target="https://taizhou.newhouse.fang.com/house/1828115000.htm" TargetMode="External"/><Relationship Id="rId49" Type="http://schemas.openxmlformats.org/officeDocument/2006/relationships/hyperlink" Target="https://nt.newhouse.fang.com/loupan/1818148832/housedetail.htm" TargetMode="External"/><Relationship Id="rId57" Type="http://schemas.openxmlformats.org/officeDocument/2006/relationships/hyperlink" Target="https://nt.newhouse.fang.com/loupan/1818149256/housedetail.htm" TargetMode="External"/><Relationship Id="rId61" Type="http://schemas.openxmlformats.org/officeDocument/2006/relationships/hyperlink" Target="https://qd.newhouse.fang.com/loupan/2411123533/housedetail.htm" TargetMode="External"/><Relationship Id="rId10" Type="http://schemas.openxmlformats.org/officeDocument/2006/relationships/hyperlink" Target="https://gy.newhouse.fang.com/loupan/3314142064/dongtai/" TargetMode="External"/><Relationship Id="rId19" Type="http://schemas.openxmlformats.org/officeDocument/2006/relationships/hyperlink" Target="https://xian.newhouse.fang.com/loupan/3610190472/dongtai/" TargetMode="External"/><Relationship Id="rId31" Type="http://schemas.openxmlformats.org/officeDocument/2006/relationships/hyperlink" Target="https://house.leju.com/hf171400/" TargetMode="External"/><Relationship Id="rId44" Type="http://schemas.openxmlformats.org/officeDocument/2006/relationships/hyperlink" Target="https://haimen.newhouse.fang.com/loupan/1840176602.htm" TargetMode="External"/><Relationship Id="rId52" Type="http://schemas.openxmlformats.org/officeDocument/2006/relationships/hyperlink" Target="https://m.leju.com/touch/house/fj/172218/options.html" TargetMode="External"/><Relationship Id="rId60" Type="http://schemas.openxmlformats.org/officeDocument/2006/relationships/hyperlink" Target="https://www.fang.com/xinfang/qd-2411123549/" TargetMode="External"/><Relationship Id="rId4" Type="http://schemas.openxmlformats.org/officeDocument/2006/relationships/hyperlink" Target="https://wz.newhouse.fang.com/loupan/2012202788/dongtai/" TargetMode="External"/><Relationship Id="rId9" Type="http://schemas.openxmlformats.org/officeDocument/2006/relationships/hyperlink" Target="https://jm.newhouse.fang.com/loupan/2821145140.htm" TargetMode="External"/><Relationship Id="rId14" Type="http://schemas.openxmlformats.org/officeDocument/2006/relationships/hyperlink" Target="https://cd.newhouse.fang.com/loupan/3210163190/housedetail.htm" TargetMode="External"/><Relationship Id="rId22" Type="http://schemas.openxmlformats.org/officeDocument/2006/relationships/hyperlink" Target="https://linyi.newhouse.fang.com/loupan/2423155191/dongtai/" TargetMode="External"/><Relationship Id="rId27" Type="http://schemas.openxmlformats.org/officeDocument/2006/relationships/hyperlink" Target="https://shangyu.newhouse.fang.com/loupan/2031164132/housedetail.htm" TargetMode="External"/><Relationship Id="rId30" Type="http://schemas.openxmlformats.org/officeDocument/2006/relationships/hyperlink" Target="http://newhouse.nj.house365.com/xinlinG83dikuai/sellinfo/2422555.html" TargetMode="External"/><Relationship Id="rId35" Type="http://schemas.openxmlformats.org/officeDocument/2006/relationships/hyperlink" Target="http://www.snfcmm.com/newhouse/202004/626679/view.html" TargetMode="External"/><Relationship Id="rId43" Type="http://schemas.openxmlformats.org/officeDocument/2006/relationships/hyperlink" Target="https://nt.newhouse.fang.com/loupan/1818148768.htm" TargetMode="External"/><Relationship Id="rId48" Type="http://schemas.openxmlformats.org/officeDocument/2006/relationships/hyperlink" Target="https://weihai.newhouse.fang.com/loupan/2417163115/housedetail.htm" TargetMode="External"/><Relationship Id="rId56" Type="http://schemas.openxmlformats.org/officeDocument/2006/relationships/hyperlink" Target="https://haimen.newhouse.fang.com/loupan/1840176622/housedetail.htm" TargetMode="External"/><Relationship Id="rId8" Type="http://schemas.openxmlformats.org/officeDocument/2006/relationships/hyperlink" Target="https://fs.newhouse.fang.com/loupan/2822157546/dongtai/" TargetMode="External"/><Relationship Id="rId51" Type="http://schemas.openxmlformats.org/officeDocument/2006/relationships/hyperlink" Target="http://xz.fccs.com/newhouse/3505433/news.html" TargetMode="External"/><Relationship Id="rId3" Type="http://schemas.openxmlformats.org/officeDocument/2006/relationships/hyperlink" Target="https://wz.newhouse.fang.com/loupan/2012202832/dongtai/" TargetMode="External"/><Relationship Id="rId12" Type="http://schemas.openxmlformats.org/officeDocument/2006/relationships/hyperlink" Target="https://cq.newhouse.fang.com/loupan/3110123592/dongtai/" TargetMode="External"/><Relationship Id="rId17" Type="http://schemas.openxmlformats.org/officeDocument/2006/relationships/hyperlink" Target="https://xian.newhouse.fang.com/loupan/3610191422/housedetail.htm" TargetMode="External"/><Relationship Id="rId25" Type="http://schemas.openxmlformats.org/officeDocument/2006/relationships/hyperlink" Target="https://tz.newhouse.fang.com/loupan/2019202816/housedetail.htm" TargetMode="External"/><Relationship Id="rId33" Type="http://schemas.openxmlformats.org/officeDocument/2006/relationships/hyperlink" Target="https://cz.newhouse.fang.com/loupan/1820158458/dongtai/" TargetMode="External"/><Relationship Id="rId38" Type="http://schemas.openxmlformats.org/officeDocument/2006/relationships/hyperlink" Target="https://sq.newhouse.fang.com/loupan/1814200714/housedetail.htm" TargetMode="External"/><Relationship Id="rId46" Type="http://schemas.openxmlformats.org/officeDocument/2006/relationships/hyperlink" Target="https://weihai.newhouse.fang.com/loupan/2417163257/housedetail.htm" TargetMode="External"/><Relationship Id="rId59" Type="http://schemas.openxmlformats.org/officeDocument/2006/relationships/hyperlink" Target="https://nt.newhouse.fang.com/loupan/1818149220/housedetail.ht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hangqiu.newhouse.fang.com/loupan/2523200101/housedetail.htm" TargetMode="External"/><Relationship Id="rId3" Type="http://schemas.openxmlformats.org/officeDocument/2006/relationships/hyperlink" Target="https://wz.newhouse.fang.com/loupan/2012203530.htm" TargetMode="External"/><Relationship Id="rId7" Type="http://schemas.openxmlformats.org/officeDocument/2006/relationships/hyperlink" Target="https://wz.newhouse.fang.com/loupan/2012203532/dongtai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www.fang.com/xinfang/zb-2412176909/" TargetMode="External"/><Relationship Id="rId1" Type="http://schemas.openxmlformats.org/officeDocument/2006/relationships/hyperlink" Target="https://www.fang.com/xinfang/huaian-1826201812/" TargetMode="External"/><Relationship Id="rId6" Type="http://schemas.openxmlformats.org/officeDocument/2006/relationships/hyperlink" Target="https://nb.newhouse.fang.com/loupan/2011123570/housedetail.htm" TargetMode="External"/><Relationship Id="rId11" Type="http://schemas.openxmlformats.org/officeDocument/2006/relationships/hyperlink" Target="https://cd.esf.fang.com/loupan/3210995438.htm" TargetMode="External"/><Relationship Id="rId5" Type="http://schemas.openxmlformats.org/officeDocument/2006/relationships/hyperlink" Target="https://tianshui.newhouse.fang.com/loupan/3713190684/housedetail.htm" TargetMode="External"/><Relationship Id="rId10" Type="http://schemas.openxmlformats.org/officeDocument/2006/relationships/hyperlink" Target="https://xishuangbanna.newhouse.fang.com/loupan/3422195340.htm" TargetMode="External"/><Relationship Id="rId4" Type="http://schemas.openxmlformats.org/officeDocument/2006/relationships/hyperlink" Target="https://fs.newhouse.fang.com/loupan/2822157504.htm" TargetMode="External"/><Relationship Id="rId9" Type="http://schemas.openxmlformats.org/officeDocument/2006/relationships/hyperlink" Target="https://nt.newhouse.fang.com/loupan/1818148614/house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zoomScaleNormal="100" workbookViewId="0">
      <pane ySplit="1" topLeftCell="A24" activePane="bottomLeft" state="frozen"/>
      <selection pane="bottomLeft" activeCell="E43" sqref="E43"/>
    </sheetView>
  </sheetViews>
  <sheetFormatPr defaultRowHeight="14.25" x14ac:dyDescent="0.2"/>
  <cols>
    <col min="1" max="1" width="9" style="25"/>
    <col min="2" max="2" width="13.875" style="26" customWidth="1"/>
    <col min="3" max="3" width="42.25" style="26" customWidth="1"/>
    <col min="4" max="4" width="11.25" style="29" customWidth="1"/>
    <col min="5" max="5" width="5.75" style="25" customWidth="1"/>
    <col min="6" max="6" width="11.375" style="25" customWidth="1"/>
    <col min="7" max="7" width="6" style="25" customWidth="1"/>
    <col min="8" max="8" width="7.875" style="25" customWidth="1"/>
    <col min="9" max="9" width="9.375" style="25" customWidth="1"/>
    <col min="10" max="10" width="11.375" style="25" customWidth="1"/>
    <col min="11" max="11" width="8.625" style="25" customWidth="1"/>
    <col min="12" max="12" width="9.25" style="25" customWidth="1"/>
    <col min="13" max="13" width="61" style="13" customWidth="1"/>
    <col min="14" max="14" width="45.25" style="17" customWidth="1"/>
    <col min="15" max="16384" width="9" style="25"/>
  </cols>
  <sheetData>
    <row r="1" spans="1:14" s="13" customFormat="1" ht="28.5" x14ac:dyDescent="0.2">
      <c r="A1" s="15" t="s">
        <v>19</v>
      </c>
      <c r="B1" s="15" t="s">
        <v>21</v>
      </c>
      <c r="C1" s="15" t="s">
        <v>20</v>
      </c>
      <c r="D1" s="16" t="s">
        <v>24</v>
      </c>
      <c r="E1" s="13" t="s">
        <v>3</v>
      </c>
      <c r="F1" s="14" t="s">
        <v>17</v>
      </c>
      <c r="G1" s="15" t="s">
        <v>18</v>
      </c>
      <c r="H1" s="15" t="s">
        <v>22</v>
      </c>
      <c r="I1" s="15" t="s">
        <v>589</v>
      </c>
      <c r="J1" s="15" t="s">
        <v>23</v>
      </c>
      <c r="K1" s="50" t="s">
        <v>590</v>
      </c>
      <c r="L1" s="49" t="s">
        <v>256</v>
      </c>
      <c r="M1" s="66" t="s">
        <v>559</v>
      </c>
      <c r="N1" s="66" t="s">
        <v>560</v>
      </c>
    </row>
    <row r="2" spans="1:14" x14ac:dyDescent="0.2">
      <c r="A2" s="19" t="s">
        <v>25</v>
      </c>
      <c r="B2" s="65" t="s">
        <v>717</v>
      </c>
      <c r="C2" s="65" t="s">
        <v>708</v>
      </c>
      <c r="D2" s="20">
        <f>K2/J2*10000</f>
        <v>1820.464532328939</v>
      </c>
      <c r="E2" s="17">
        <v>1</v>
      </c>
      <c r="F2" s="18">
        <v>43831</v>
      </c>
      <c r="G2" s="1">
        <v>1</v>
      </c>
      <c r="H2" s="2">
        <v>0.75</v>
      </c>
      <c r="I2" s="3">
        <v>10.37</v>
      </c>
      <c r="J2" s="3">
        <v>15.93</v>
      </c>
      <c r="K2" s="4">
        <v>2.9</v>
      </c>
      <c r="L2" s="11">
        <f>K2*H2</f>
        <v>2.1749999999999998</v>
      </c>
      <c r="M2" s="79" t="s">
        <v>1020</v>
      </c>
      <c r="N2" s="67" t="s">
        <v>734</v>
      </c>
    </row>
    <row r="3" spans="1:14" x14ac:dyDescent="0.2">
      <c r="A3" s="19" t="s">
        <v>26</v>
      </c>
      <c r="B3" s="19" t="s">
        <v>27</v>
      </c>
      <c r="C3" s="19" t="s">
        <v>7</v>
      </c>
      <c r="D3" s="21">
        <f>(2506+4142)/2</f>
        <v>3324</v>
      </c>
      <c r="E3" s="17">
        <v>2</v>
      </c>
      <c r="F3" s="18">
        <v>43832</v>
      </c>
      <c r="G3" s="1">
        <v>2</v>
      </c>
      <c r="H3" s="2">
        <v>1</v>
      </c>
      <c r="I3" s="3">
        <v>7.12</v>
      </c>
      <c r="J3" s="3">
        <v>12.36</v>
      </c>
      <c r="K3" s="4">
        <v>4.74</v>
      </c>
      <c r="L3" s="11">
        <f t="shared" ref="L3:L66" si="0">K3*H3</f>
        <v>4.74</v>
      </c>
      <c r="M3" s="79" t="s">
        <v>667</v>
      </c>
      <c r="N3" s="67" t="s">
        <v>562</v>
      </c>
    </row>
    <row r="4" spans="1:14" x14ac:dyDescent="0.2">
      <c r="A4" s="19" t="s">
        <v>26</v>
      </c>
      <c r="B4" s="19" t="s">
        <v>27</v>
      </c>
      <c r="C4" s="19" t="s">
        <v>553</v>
      </c>
      <c r="D4" s="21">
        <f>(2717+4282)/2</f>
        <v>3499.5</v>
      </c>
      <c r="E4" s="17">
        <v>3</v>
      </c>
      <c r="F4" s="18">
        <v>43833</v>
      </c>
      <c r="G4" s="1">
        <v>3</v>
      </c>
      <c r="H4" s="2">
        <v>1</v>
      </c>
      <c r="I4" s="3">
        <v>11.59</v>
      </c>
      <c r="J4" s="3">
        <v>19.77</v>
      </c>
      <c r="K4" s="4">
        <v>7.62</v>
      </c>
      <c r="L4" s="11">
        <f t="shared" si="0"/>
        <v>7.62</v>
      </c>
      <c r="M4" s="79" t="s">
        <v>765</v>
      </c>
      <c r="N4" s="67" t="s">
        <v>770</v>
      </c>
    </row>
    <row r="5" spans="1:14" x14ac:dyDescent="0.2">
      <c r="A5" s="19" t="s">
        <v>28</v>
      </c>
      <c r="B5" s="19" t="s">
        <v>30</v>
      </c>
      <c r="C5" s="64" t="s">
        <v>29</v>
      </c>
      <c r="D5" s="20">
        <v>10278</v>
      </c>
      <c r="E5" s="17">
        <v>4</v>
      </c>
      <c r="F5" s="18">
        <v>43862</v>
      </c>
      <c r="G5" s="1">
        <v>1</v>
      </c>
      <c r="H5" s="2">
        <v>1</v>
      </c>
      <c r="I5" s="19">
        <v>4.1500000000000004</v>
      </c>
      <c r="J5" s="19">
        <v>10.38</v>
      </c>
      <c r="K5" s="4">
        <v>4.7699999999999996</v>
      </c>
      <c r="L5" s="11">
        <f t="shared" si="0"/>
        <v>4.7699999999999996</v>
      </c>
      <c r="M5" s="79" t="s">
        <v>608</v>
      </c>
      <c r="N5" s="67" t="s">
        <v>605</v>
      </c>
    </row>
    <row r="6" spans="1:14" x14ac:dyDescent="0.2">
      <c r="A6" s="19" t="s">
        <v>31</v>
      </c>
      <c r="B6" s="19" t="s">
        <v>32</v>
      </c>
      <c r="C6" s="65" t="s">
        <v>681</v>
      </c>
      <c r="D6" s="20">
        <f t="shared" ref="D6:D37" si="1">K6/J6*10000</f>
        <v>3020.6677265500794</v>
      </c>
      <c r="E6" s="17">
        <v>5</v>
      </c>
      <c r="F6" s="18">
        <v>43863</v>
      </c>
      <c r="G6" s="1">
        <v>2</v>
      </c>
      <c r="H6" s="2">
        <v>0.5</v>
      </c>
      <c r="I6" s="3">
        <v>6.29</v>
      </c>
      <c r="J6" s="3">
        <v>6.29</v>
      </c>
      <c r="K6" s="4">
        <v>1.9</v>
      </c>
      <c r="L6" s="11">
        <f t="shared" si="0"/>
        <v>0.95</v>
      </c>
      <c r="M6" s="25" t="s">
        <v>683</v>
      </c>
      <c r="N6" s="67" t="s">
        <v>682</v>
      </c>
    </row>
    <row r="7" spans="1:14" x14ac:dyDescent="0.2">
      <c r="A7" s="19" t="s">
        <v>33</v>
      </c>
      <c r="B7" s="19" t="s">
        <v>34</v>
      </c>
      <c r="C7" s="19" t="s">
        <v>8</v>
      </c>
      <c r="D7" s="20">
        <f t="shared" si="1"/>
        <v>3893.6309914642152</v>
      </c>
      <c r="E7" s="17">
        <v>6</v>
      </c>
      <c r="F7" s="18">
        <v>43864</v>
      </c>
      <c r="G7" s="1">
        <v>3</v>
      </c>
      <c r="H7" s="2">
        <v>0.53</v>
      </c>
      <c r="I7" s="3">
        <v>7.54</v>
      </c>
      <c r="J7" s="3">
        <v>15.23</v>
      </c>
      <c r="K7" s="4">
        <v>5.93</v>
      </c>
      <c r="L7" s="11">
        <f t="shared" si="0"/>
        <v>3.1429</v>
      </c>
      <c r="M7" s="85" t="s">
        <v>677</v>
      </c>
      <c r="N7" s="67" t="s">
        <v>676</v>
      </c>
    </row>
    <row r="8" spans="1:14" x14ac:dyDescent="0.2">
      <c r="A8" s="19" t="s">
        <v>35</v>
      </c>
      <c r="B8" s="19" t="s">
        <v>37</v>
      </c>
      <c r="C8" s="64" t="s">
        <v>36</v>
      </c>
      <c r="D8" s="20">
        <f t="shared" si="1"/>
        <v>5397.6886471787902</v>
      </c>
      <c r="E8" s="17">
        <v>7</v>
      </c>
      <c r="F8" s="18">
        <v>43865</v>
      </c>
      <c r="G8" s="1">
        <v>4</v>
      </c>
      <c r="H8" s="2">
        <v>1</v>
      </c>
      <c r="I8" s="3">
        <v>7.35</v>
      </c>
      <c r="J8" s="3">
        <v>14.71</v>
      </c>
      <c r="K8" s="4">
        <v>7.94</v>
      </c>
      <c r="L8" s="11">
        <f t="shared" si="0"/>
        <v>7.94</v>
      </c>
      <c r="M8" s="85" t="s">
        <v>766</v>
      </c>
      <c r="N8" s="25"/>
    </row>
    <row r="9" spans="1:14" x14ac:dyDescent="0.2">
      <c r="A9" s="19" t="s">
        <v>38</v>
      </c>
      <c r="B9" s="19" t="s">
        <v>39</v>
      </c>
      <c r="C9" s="19" t="s">
        <v>9</v>
      </c>
      <c r="D9" s="20">
        <f t="shared" si="1"/>
        <v>1355.1401869158876</v>
      </c>
      <c r="E9" s="17">
        <v>8</v>
      </c>
      <c r="F9" s="18">
        <v>43891</v>
      </c>
      <c r="G9" s="1">
        <v>1</v>
      </c>
      <c r="H9" s="2">
        <v>1</v>
      </c>
      <c r="I9" s="3">
        <v>3.89</v>
      </c>
      <c r="J9" s="3">
        <v>6.42</v>
      </c>
      <c r="K9" s="4">
        <v>0.87</v>
      </c>
      <c r="L9" s="11">
        <f t="shared" si="0"/>
        <v>0.87</v>
      </c>
      <c r="M9" s="85" t="s">
        <v>771</v>
      </c>
      <c r="N9" s="67" t="s">
        <v>769</v>
      </c>
    </row>
    <row r="10" spans="1:14" ht="15" x14ac:dyDescent="0.2">
      <c r="A10" s="19" t="s">
        <v>38</v>
      </c>
      <c r="B10" s="19" t="s">
        <v>39</v>
      </c>
      <c r="C10" s="19" t="s">
        <v>40</v>
      </c>
      <c r="D10" s="20">
        <f t="shared" si="1"/>
        <v>1335.3115727002967</v>
      </c>
      <c r="E10" s="17">
        <v>9</v>
      </c>
      <c r="F10" s="18">
        <v>43892</v>
      </c>
      <c r="G10" s="1">
        <v>2</v>
      </c>
      <c r="H10" s="2">
        <v>1</v>
      </c>
      <c r="I10" s="3">
        <v>4.82</v>
      </c>
      <c r="J10" s="3">
        <v>6.74</v>
      </c>
      <c r="K10" s="4">
        <v>0.9</v>
      </c>
      <c r="L10" s="11">
        <f t="shared" si="0"/>
        <v>0.9</v>
      </c>
      <c r="M10" s="85" t="s">
        <v>771</v>
      </c>
      <c r="N10" s="67" t="s">
        <v>769</v>
      </c>
    </row>
    <row r="11" spans="1:14" x14ac:dyDescent="0.2">
      <c r="A11" s="19" t="s">
        <v>38</v>
      </c>
      <c r="B11" s="19" t="s">
        <v>39</v>
      </c>
      <c r="C11" s="19" t="s">
        <v>767</v>
      </c>
      <c r="D11" s="20">
        <f t="shared" si="1"/>
        <v>1142.8571428571429</v>
      </c>
      <c r="E11" s="17">
        <v>10</v>
      </c>
      <c r="F11" s="18">
        <v>43893</v>
      </c>
      <c r="G11" s="1">
        <v>3</v>
      </c>
      <c r="H11" s="2">
        <v>1</v>
      </c>
      <c r="I11" s="3">
        <v>2.33</v>
      </c>
      <c r="J11" s="3">
        <v>1.4</v>
      </c>
      <c r="K11" s="4">
        <v>0.16</v>
      </c>
      <c r="L11" s="11">
        <f t="shared" si="0"/>
        <v>0.16</v>
      </c>
      <c r="M11" s="85" t="s">
        <v>768</v>
      </c>
      <c r="N11" s="25"/>
    </row>
    <row r="12" spans="1:14" x14ac:dyDescent="0.2">
      <c r="A12" s="19" t="s">
        <v>38</v>
      </c>
      <c r="B12" s="19" t="s">
        <v>39</v>
      </c>
      <c r="C12" s="19" t="s">
        <v>10</v>
      </c>
      <c r="D12" s="20">
        <f t="shared" si="1"/>
        <v>4799.4467496542184</v>
      </c>
      <c r="E12" s="17">
        <v>11</v>
      </c>
      <c r="F12" s="18">
        <v>43894</v>
      </c>
      <c r="G12" s="1">
        <v>4</v>
      </c>
      <c r="H12" s="2">
        <v>0.45</v>
      </c>
      <c r="I12" s="3">
        <v>6.02</v>
      </c>
      <c r="J12" s="3">
        <v>7.23</v>
      </c>
      <c r="K12" s="4">
        <v>3.47</v>
      </c>
      <c r="L12" s="11">
        <f t="shared" si="0"/>
        <v>1.5615000000000001</v>
      </c>
      <c r="M12" s="85" t="s">
        <v>773</v>
      </c>
      <c r="N12" s="67" t="s">
        <v>772</v>
      </c>
    </row>
    <row r="13" spans="1:14" x14ac:dyDescent="0.2">
      <c r="A13" s="19" t="s">
        <v>41</v>
      </c>
      <c r="B13" s="65" t="s">
        <v>718</v>
      </c>
      <c r="C13" s="19" t="s">
        <v>11</v>
      </c>
      <c r="D13" s="20">
        <f t="shared" si="1"/>
        <v>8175.0619322873663</v>
      </c>
      <c r="E13" s="17">
        <v>12</v>
      </c>
      <c r="F13" s="18">
        <v>43895</v>
      </c>
      <c r="G13" s="1">
        <v>5</v>
      </c>
      <c r="H13" s="2">
        <v>0.5</v>
      </c>
      <c r="I13" s="3">
        <v>5.51</v>
      </c>
      <c r="J13" s="3">
        <v>12.11</v>
      </c>
      <c r="K13" s="4">
        <v>9.9</v>
      </c>
      <c r="L13" s="11">
        <f t="shared" si="0"/>
        <v>4.95</v>
      </c>
      <c r="M13" s="79" t="s">
        <v>720</v>
      </c>
      <c r="N13" s="67" t="s">
        <v>719</v>
      </c>
    </row>
    <row r="14" spans="1:14" x14ac:dyDescent="0.2">
      <c r="A14" s="19" t="s">
        <v>28</v>
      </c>
      <c r="B14" s="19" t="s">
        <v>44</v>
      </c>
      <c r="C14" s="64" t="s">
        <v>43</v>
      </c>
      <c r="D14" s="20">
        <f t="shared" si="1"/>
        <v>2655.4054054054054</v>
      </c>
      <c r="E14" s="17">
        <v>13</v>
      </c>
      <c r="F14" s="18">
        <v>43896</v>
      </c>
      <c r="G14" s="1">
        <v>6</v>
      </c>
      <c r="H14" s="2">
        <v>0.75</v>
      </c>
      <c r="I14" s="3">
        <v>5.92</v>
      </c>
      <c r="J14" s="3">
        <v>14.8</v>
      </c>
      <c r="K14" s="4">
        <v>3.93</v>
      </c>
      <c r="L14" s="11">
        <f t="shared" si="0"/>
        <v>2.9475000000000002</v>
      </c>
      <c r="M14" s="79" t="s">
        <v>607</v>
      </c>
      <c r="N14" s="67" t="s">
        <v>606</v>
      </c>
    </row>
    <row r="15" spans="1:14" x14ac:dyDescent="0.2">
      <c r="A15" s="19" t="s">
        <v>45</v>
      </c>
      <c r="B15" s="19" t="s">
        <v>46</v>
      </c>
      <c r="C15" s="19" t="s">
        <v>12</v>
      </c>
      <c r="D15" s="20">
        <f t="shared" si="1"/>
        <v>1556.2472209871055</v>
      </c>
      <c r="E15" s="17">
        <v>14</v>
      </c>
      <c r="F15" s="18">
        <v>43897</v>
      </c>
      <c r="G15" s="1">
        <v>7</v>
      </c>
      <c r="H15" s="2">
        <v>0.49</v>
      </c>
      <c r="I15" s="3">
        <v>7.77</v>
      </c>
      <c r="J15" s="3">
        <v>22.49</v>
      </c>
      <c r="K15" s="4">
        <v>3.5</v>
      </c>
      <c r="L15" s="11">
        <f t="shared" si="0"/>
        <v>1.7149999999999999</v>
      </c>
      <c r="M15" s="25"/>
      <c r="N15" s="25"/>
    </row>
    <row r="16" spans="1:14" x14ac:dyDescent="0.2">
      <c r="A16" s="19" t="s">
        <v>47</v>
      </c>
      <c r="B16" s="19" t="s">
        <v>49</v>
      </c>
      <c r="C16" s="19" t="s">
        <v>48</v>
      </c>
      <c r="D16" s="20">
        <f t="shared" si="1"/>
        <v>35280.641466208479</v>
      </c>
      <c r="E16" s="17">
        <v>15</v>
      </c>
      <c r="F16" s="18">
        <v>43922</v>
      </c>
      <c r="G16" s="1">
        <v>1</v>
      </c>
      <c r="H16" s="2">
        <v>0.55000000000000004</v>
      </c>
      <c r="I16" s="3">
        <v>3.49</v>
      </c>
      <c r="J16" s="3">
        <v>8.73</v>
      </c>
      <c r="K16" s="4">
        <v>30.8</v>
      </c>
      <c r="L16" s="11">
        <f t="shared" si="0"/>
        <v>16.940000000000001</v>
      </c>
      <c r="M16" s="79" t="s">
        <v>709</v>
      </c>
      <c r="N16" s="67" t="s">
        <v>710</v>
      </c>
    </row>
    <row r="17" spans="1:14" x14ac:dyDescent="0.2">
      <c r="A17" s="19" t="s">
        <v>38</v>
      </c>
      <c r="B17" s="19" t="s">
        <v>50</v>
      </c>
      <c r="C17" s="19" t="s">
        <v>4</v>
      </c>
      <c r="D17" s="20">
        <v>4333</v>
      </c>
      <c r="E17" s="17">
        <v>16</v>
      </c>
      <c r="F17" s="18">
        <v>43923</v>
      </c>
      <c r="G17" s="1">
        <v>2</v>
      </c>
      <c r="H17" s="2">
        <v>0.55000000000000004</v>
      </c>
      <c r="I17" s="3">
        <v>21.92</v>
      </c>
      <c r="J17" s="3">
        <v>44.43</v>
      </c>
      <c r="K17" s="4">
        <v>19.95</v>
      </c>
      <c r="L17" s="11">
        <f t="shared" si="0"/>
        <v>10.9725</v>
      </c>
      <c r="M17" s="85" t="s">
        <v>784</v>
      </c>
      <c r="N17" s="67" t="s">
        <v>774</v>
      </c>
    </row>
    <row r="18" spans="1:14" x14ac:dyDescent="0.2">
      <c r="A18" s="19" t="s">
        <v>25</v>
      </c>
      <c r="B18" s="19" t="s">
        <v>52</v>
      </c>
      <c r="C18" s="19" t="s">
        <v>51</v>
      </c>
      <c r="D18" s="20">
        <f t="shared" si="1"/>
        <v>7830.8026030368765</v>
      </c>
      <c r="E18" s="17">
        <v>17</v>
      </c>
      <c r="F18" s="18">
        <v>43924</v>
      </c>
      <c r="G18" s="1">
        <v>3</v>
      </c>
      <c r="H18" s="2">
        <v>0.45</v>
      </c>
      <c r="I18" s="3">
        <v>3.08</v>
      </c>
      <c r="J18" s="3">
        <v>4.6100000000000003</v>
      </c>
      <c r="K18" s="4">
        <v>3.61</v>
      </c>
      <c r="L18" s="11">
        <f t="shared" si="0"/>
        <v>1.6245000000000001</v>
      </c>
      <c r="M18" s="85" t="s">
        <v>729</v>
      </c>
      <c r="N18" s="67" t="s">
        <v>728</v>
      </c>
    </row>
    <row r="19" spans="1:14" x14ac:dyDescent="0.2">
      <c r="A19" s="19" t="s">
        <v>28</v>
      </c>
      <c r="B19" s="19" t="s">
        <v>54</v>
      </c>
      <c r="C19" s="64" t="s">
        <v>53</v>
      </c>
      <c r="D19" s="20">
        <f t="shared" si="1"/>
        <v>5651.6853932584263</v>
      </c>
      <c r="E19" s="17">
        <v>18</v>
      </c>
      <c r="F19" s="18">
        <v>43925</v>
      </c>
      <c r="G19" s="1">
        <v>4</v>
      </c>
      <c r="H19" s="2">
        <v>0.51</v>
      </c>
      <c r="I19" s="3">
        <v>2.97</v>
      </c>
      <c r="J19" s="3">
        <v>8.9</v>
      </c>
      <c r="K19" s="4">
        <v>5.03</v>
      </c>
      <c r="L19" s="11">
        <f t="shared" si="0"/>
        <v>2.5653000000000001</v>
      </c>
      <c r="M19" s="79" t="s">
        <v>610</v>
      </c>
      <c r="N19" s="67" t="s">
        <v>609</v>
      </c>
    </row>
    <row r="20" spans="1:14" x14ac:dyDescent="0.2">
      <c r="A20" s="19" t="s">
        <v>55</v>
      </c>
      <c r="B20" s="19" t="s">
        <v>57</v>
      </c>
      <c r="C20" s="64" t="s">
        <v>56</v>
      </c>
      <c r="D20" s="20">
        <f t="shared" si="1"/>
        <v>12816.901408450705</v>
      </c>
      <c r="E20" s="17">
        <v>19</v>
      </c>
      <c r="F20" s="18">
        <v>43926</v>
      </c>
      <c r="G20" s="1">
        <v>5</v>
      </c>
      <c r="H20" s="2">
        <v>0.7</v>
      </c>
      <c r="I20" s="3">
        <v>5.01</v>
      </c>
      <c r="J20" s="3">
        <v>8.52</v>
      </c>
      <c r="K20" s="4">
        <v>10.92</v>
      </c>
      <c r="L20" s="11">
        <f t="shared" si="0"/>
        <v>7.6439999999999992</v>
      </c>
      <c r="M20" s="85" t="s">
        <v>698</v>
      </c>
      <c r="N20" s="67" t="s">
        <v>697</v>
      </c>
    </row>
    <row r="21" spans="1:14" x14ac:dyDescent="0.2">
      <c r="A21" s="19" t="s">
        <v>55</v>
      </c>
      <c r="B21" s="19" t="s">
        <v>59</v>
      </c>
      <c r="C21" s="19" t="s">
        <v>58</v>
      </c>
      <c r="D21" s="20">
        <f t="shared" si="1"/>
        <v>4197.3244147157193</v>
      </c>
      <c r="E21" s="17">
        <v>20</v>
      </c>
      <c r="F21" s="18">
        <v>43927</v>
      </c>
      <c r="G21" s="1">
        <v>6</v>
      </c>
      <c r="H21" s="2">
        <v>0.25</v>
      </c>
      <c r="I21" s="3">
        <v>13.11</v>
      </c>
      <c r="J21" s="3">
        <v>35.880000000000003</v>
      </c>
      <c r="K21" s="4">
        <v>15.06</v>
      </c>
      <c r="L21" s="11">
        <f t="shared" si="0"/>
        <v>3.7650000000000001</v>
      </c>
      <c r="M21" s="85" t="s">
        <v>700</v>
      </c>
      <c r="N21" s="67" t="s">
        <v>699</v>
      </c>
    </row>
    <row r="22" spans="1:14" x14ac:dyDescent="0.2">
      <c r="A22" s="19" t="s">
        <v>60</v>
      </c>
      <c r="B22" s="19" t="s">
        <v>61</v>
      </c>
      <c r="C22" s="19" t="s">
        <v>0</v>
      </c>
      <c r="D22" s="20">
        <f t="shared" si="1"/>
        <v>12685.185185185186</v>
      </c>
      <c r="E22" s="17">
        <v>21</v>
      </c>
      <c r="F22" s="18">
        <v>43928</v>
      </c>
      <c r="G22" s="1">
        <v>7</v>
      </c>
      <c r="H22" s="2">
        <v>0.6</v>
      </c>
      <c r="I22" s="3">
        <v>1.29</v>
      </c>
      <c r="J22" s="3">
        <v>3.24</v>
      </c>
      <c r="K22" s="4">
        <v>4.1100000000000003</v>
      </c>
      <c r="L22" s="11">
        <f t="shared" si="0"/>
        <v>2.4660000000000002</v>
      </c>
      <c r="M22" s="79" t="s">
        <v>644</v>
      </c>
      <c r="N22" s="67" t="s">
        <v>645</v>
      </c>
    </row>
    <row r="23" spans="1:14" x14ac:dyDescent="0.2">
      <c r="A23" s="19" t="s">
        <v>62</v>
      </c>
      <c r="B23" s="19" t="s">
        <v>63</v>
      </c>
      <c r="C23" s="19" t="s">
        <v>1</v>
      </c>
      <c r="D23" s="20">
        <f t="shared" si="1"/>
        <v>1621.4285714285713</v>
      </c>
      <c r="E23" s="17">
        <v>22</v>
      </c>
      <c r="F23" s="18">
        <v>43929</v>
      </c>
      <c r="G23" s="1">
        <v>8</v>
      </c>
      <c r="H23" s="2">
        <v>0.4</v>
      </c>
      <c r="I23" s="3">
        <v>10</v>
      </c>
      <c r="J23" s="3">
        <v>28</v>
      </c>
      <c r="K23" s="4">
        <v>4.54</v>
      </c>
      <c r="L23" s="11">
        <f t="shared" si="0"/>
        <v>1.8160000000000001</v>
      </c>
      <c r="M23" s="85" t="s">
        <v>657</v>
      </c>
      <c r="N23" s="67" t="s">
        <v>656</v>
      </c>
    </row>
    <row r="24" spans="1:14" x14ac:dyDescent="0.2">
      <c r="A24" s="19" t="s">
        <v>64</v>
      </c>
      <c r="B24" s="19" t="s">
        <v>66</v>
      </c>
      <c r="C24" s="19" t="s">
        <v>65</v>
      </c>
      <c r="D24" s="20">
        <f t="shared" si="1"/>
        <v>5718.3297947629153</v>
      </c>
      <c r="E24" s="17">
        <v>23</v>
      </c>
      <c r="F24" s="18">
        <v>43930</v>
      </c>
      <c r="G24" s="1">
        <v>9</v>
      </c>
      <c r="H24" s="2">
        <v>0.33</v>
      </c>
      <c r="I24" s="3">
        <v>11.31</v>
      </c>
      <c r="J24" s="3">
        <v>28.26</v>
      </c>
      <c r="K24" s="4">
        <v>16.16</v>
      </c>
      <c r="L24" s="11">
        <f t="shared" si="0"/>
        <v>5.3328000000000007</v>
      </c>
      <c r="M24" s="79" t="s">
        <v>613</v>
      </c>
      <c r="N24" s="25"/>
    </row>
    <row r="25" spans="1:14" x14ac:dyDescent="0.2">
      <c r="A25" s="19" t="s">
        <v>67</v>
      </c>
      <c r="B25" s="19" t="s">
        <v>68</v>
      </c>
      <c r="C25" s="19" t="s">
        <v>13</v>
      </c>
      <c r="D25" s="20">
        <f t="shared" si="1"/>
        <v>7210.0313479623819</v>
      </c>
      <c r="E25" s="17">
        <v>24</v>
      </c>
      <c r="F25" s="18">
        <v>43931</v>
      </c>
      <c r="G25" s="1">
        <v>10</v>
      </c>
      <c r="H25" s="2">
        <v>0.6</v>
      </c>
      <c r="I25" s="3">
        <v>5.7</v>
      </c>
      <c r="J25" s="3">
        <v>15.95</v>
      </c>
      <c r="K25" s="4">
        <v>11.5</v>
      </c>
      <c r="L25" s="11">
        <f t="shared" si="0"/>
        <v>6.8999999999999995</v>
      </c>
      <c r="M25" s="85" t="s">
        <v>615</v>
      </c>
      <c r="N25" s="67" t="s">
        <v>614</v>
      </c>
    </row>
    <row r="26" spans="1:14" x14ac:dyDescent="0.2">
      <c r="A26" s="19" t="s">
        <v>69</v>
      </c>
      <c r="B26" s="19" t="s">
        <v>70</v>
      </c>
      <c r="C26" s="19" t="s">
        <v>14</v>
      </c>
      <c r="D26" s="20">
        <f t="shared" si="1"/>
        <v>4906.9973427812229</v>
      </c>
      <c r="E26" s="17">
        <v>25</v>
      </c>
      <c r="F26" s="18">
        <v>43932</v>
      </c>
      <c r="G26" s="1">
        <v>11</v>
      </c>
      <c r="H26" s="2">
        <v>0.7</v>
      </c>
      <c r="I26" s="3">
        <v>4.91</v>
      </c>
      <c r="J26" s="3">
        <v>11.29</v>
      </c>
      <c r="K26" s="4">
        <v>5.54</v>
      </c>
      <c r="L26" s="11">
        <f t="shared" si="0"/>
        <v>3.8779999999999997</v>
      </c>
      <c r="M26" s="85" t="s">
        <v>669</v>
      </c>
      <c r="N26" s="67" t="s">
        <v>668</v>
      </c>
    </row>
    <row r="27" spans="1:14" x14ac:dyDescent="0.2">
      <c r="A27" s="19" t="s">
        <v>71</v>
      </c>
      <c r="B27" s="19" t="s">
        <v>73</v>
      </c>
      <c r="C27" s="64" t="s">
        <v>72</v>
      </c>
      <c r="D27" s="20">
        <f t="shared" si="1"/>
        <v>5863.0952380952385</v>
      </c>
      <c r="E27" s="17">
        <v>26</v>
      </c>
      <c r="F27" s="18">
        <v>43952</v>
      </c>
      <c r="G27" s="1">
        <v>1</v>
      </c>
      <c r="H27" s="2">
        <v>0.5</v>
      </c>
      <c r="I27" s="3">
        <v>3.73</v>
      </c>
      <c r="J27" s="3">
        <v>6.72</v>
      </c>
      <c r="K27" s="4">
        <v>3.94</v>
      </c>
      <c r="L27" s="11">
        <f t="shared" si="0"/>
        <v>1.97</v>
      </c>
      <c r="M27" s="79" t="s">
        <v>696</v>
      </c>
      <c r="N27" s="67" t="s">
        <v>695</v>
      </c>
    </row>
    <row r="28" spans="1:14" x14ac:dyDescent="0.2">
      <c r="A28" s="19" t="s">
        <v>71</v>
      </c>
      <c r="B28" s="19" t="s">
        <v>73</v>
      </c>
      <c r="C28" s="64" t="s">
        <v>775</v>
      </c>
      <c r="D28" s="20">
        <f t="shared" si="1"/>
        <v>6942.9097605893185</v>
      </c>
      <c r="E28" s="17">
        <v>27</v>
      </c>
      <c r="F28" s="18">
        <v>43953</v>
      </c>
      <c r="G28" s="1">
        <v>2</v>
      </c>
      <c r="H28" s="2">
        <v>0.5</v>
      </c>
      <c r="I28" s="3">
        <v>3.02</v>
      </c>
      <c r="J28" s="3">
        <v>5.43</v>
      </c>
      <c r="K28" s="4">
        <v>3.77</v>
      </c>
      <c r="L28" s="11">
        <f t="shared" si="0"/>
        <v>1.885</v>
      </c>
      <c r="M28" s="79" t="s">
        <v>776</v>
      </c>
      <c r="N28" s="25"/>
    </row>
    <row r="29" spans="1:14" x14ac:dyDescent="0.2">
      <c r="A29" s="19" t="s">
        <v>31</v>
      </c>
      <c r="B29" s="19" t="s">
        <v>32</v>
      </c>
      <c r="C29" s="65" t="s">
        <v>684</v>
      </c>
      <c r="D29" s="20">
        <f t="shared" si="1"/>
        <v>3479.9999999999995</v>
      </c>
      <c r="E29" s="17">
        <v>28</v>
      </c>
      <c r="F29" s="18">
        <v>43954</v>
      </c>
      <c r="G29" s="1">
        <v>3</v>
      </c>
      <c r="H29" s="2">
        <v>0.75</v>
      </c>
      <c r="I29" s="3">
        <v>4.76</v>
      </c>
      <c r="J29" s="3">
        <v>5</v>
      </c>
      <c r="K29" s="4">
        <v>1.74</v>
      </c>
      <c r="L29" s="11">
        <f t="shared" si="0"/>
        <v>1.3049999999999999</v>
      </c>
      <c r="M29" s="79" t="s">
        <v>687</v>
      </c>
      <c r="N29" s="25"/>
    </row>
    <row r="30" spans="1:14" x14ac:dyDescent="0.2">
      <c r="A30" s="19" t="s">
        <v>74</v>
      </c>
      <c r="B30" s="65" t="s">
        <v>566</v>
      </c>
      <c r="C30" s="19" t="s">
        <v>15</v>
      </c>
      <c r="D30" s="20">
        <f t="shared" si="1"/>
        <v>8428.5714285714294</v>
      </c>
      <c r="E30" s="17">
        <v>29</v>
      </c>
      <c r="F30" s="18">
        <v>43955</v>
      </c>
      <c r="G30" s="1">
        <v>4</v>
      </c>
      <c r="H30" s="2">
        <v>0.6</v>
      </c>
      <c r="I30" s="3">
        <v>1.21</v>
      </c>
      <c r="J30" s="3">
        <v>3.5</v>
      </c>
      <c r="K30" s="4">
        <v>2.95</v>
      </c>
      <c r="L30" s="11">
        <f t="shared" si="0"/>
        <v>1.77</v>
      </c>
      <c r="M30" s="85" t="s">
        <v>670</v>
      </c>
      <c r="N30" s="25"/>
    </row>
    <row r="31" spans="1:14" ht="15" x14ac:dyDescent="0.2">
      <c r="A31" s="19" t="s">
        <v>74</v>
      </c>
      <c r="B31" s="19" t="s">
        <v>75</v>
      </c>
      <c r="C31" s="19" t="s">
        <v>76</v>
      </c>
      <c r="D31" s="20">
        <f t="shared" si="1"/>
        <v>8549.382716049382</v>
      </c>
      <c r="E31" s="17">
        <v>30</v>
      </c>
      <c r="F31" s="18">
        <v>43956</v>
      </c>
      <c r="G31" s="1">
        <v>5</v>
      </c>
      <c r="H31" s="2">
        <v>0.6</v>
      </c>
      <c r="I31" s="3">
        <v>2.3199999999999998</v>
      </c>
      <c r="J31" s="3">
        <v>6.48</v>
      </c>
      <c r="K31" s="4">
        <v>5.54</v>
      </c>
      <c r="L31" s="11">
        <f t="shared" si="0"/>
        <v>3.3239999999999998</v>
      </c>
      <c r="M31" s="79" t="s">
        <v>777</v>
      </c>
      <c r="N31" s="25"/>
    </row>
    <row r="32" spans="1:14" ht="15" x14ac:dyDescent="0.2">
      <c r="A32" s="19" t="s">
        <v>74</v>
      </c>
      <c r="B32" s="19" t="s">
        <v>75</v>
      </c>
      <c r="C32" s="19" t="s">
        <v>77</v>
      </c>
      <c r="D32" s="20">
        <f t="shared" si="1"/>
        <v>8666.6666666666661</v>
      </c>
      <c r="E32" s="17">
        <v>31</v>
      </c>
      <c r="F32" s="18">
        <v>43957</v>
      </c>
      <c r="G32" s="1">
        <v>6</v>
      </c>
      <c r="H32" s="2">
        <v>0.6</v>
      </c>
      <c r="I32" s="3">
        <v>0.94</v>
      </c>
      <c r="J32" s="3">
        <v>2.25</v>
      </c>
      <c r="K32" s="4">
        <v>1.95</v>
      </c>
      <c r="L32" s="11">
        <f t="shared" si="0"/>
        <v>1.17</v>
      </c>
      <c r="M32" s="79" t="s">
        <v>777</v>
      </c>
      <c r="N32" s="25"/>
    </row>
    <row r="33" spans="1:14" ht="28.5" x14ac:dyDescent="0.2">
      <c r="A33" s="19" t="s">
        <v>78</v>
      </c>
      <c r="B33" s="19" t="s">
        <v>80</v>
      </c>
      <c r="C33" s="64" t="s">
        <v>79</v>
      </c>
      <c r="D33" s="20">
        <f t="shared" si="1"/>
        <v>6284.9621586048042</v>
      </c>
      <c r="E33" s="17">
        <v>32</v>
      </c>
      <c r="F33" s="18">
        <v>43958</v>
      </c>
      <c r="G33" s="1">
        <v>7</v>
      </c>
      <c r="H33" s="2">
        <v>1</v>
      </c>
      <c r="I33" s="3">
        <v>17.22</v>
      </c>
      <c r="J33" s="3">
        <v>30.39</v>
      </c>
      <c r="K33" s="4">
        <v>19.100000000000001</v>
      </c>
      <c r="L33" s="11">
        <f t="shared" si="0"/>
        <v>19.100000000000001</v>
      </c>
      <c r="M33" s="79" t="s">
        <v>642</v>
      </c>
      <c r="N33" s="67" t="s">
        <v>643</v>
      </c>
    </row>
    <row r="34" spans="1:14" x14ac:dyDescent="0.2">
      <c r="A34" s="19" t="s">
        <v>60</v>
      </c>
      <c r="B34" s="19" t="s">
        <v>82</v>
      </c>
      <c r="C34" s="64" t="s">
        <v>81</v>
      </c>
      <c r="D34" s="20">
        <f t="shared" si="1"/>
        <v>6917.4757281553402</v>
      </c>
      <c r="E34" s="17">
        <v>33</v>
      </c>
      <c r="F34" s="18">
        <v>43959</v>
      </c>
      <c r="G34" s="1">
        <v>8</v>
      </c>
      <c r="H34" s="2">
        <v>0.3</v>
      </c>
      <c r="I34" s="3">
        <v>3.6</v>
      </c>
      <c r="J34" s="3">
        <v>8.24</v>
      </c>
      <c r="K34" s="4">
        <v>5.7</v>
      </c>
      <c r="L34" s="11">
        <f t="shared" si="0"/>
        <v>1.71</v>
      </c>
      <c r="M34" s="85" t="s">
        <v>646</v>
      </c>
      <c r="N34" s="67" t="s">
        <v>649</v>
      </c>
    </row>
    <row r="35" spans="1:14" x14ac:dyDescent="0.2">
      <c r="A35" s="65" t="s">
        <v>732</v>
      </c>
      <c r="B35" s="65" t="s">
        <v>707</v>
      </c>
      <c r="C35" s="64" t="s">
        <v>83</v>
      </c>
      <c r="D35" s="20">
        <f t="shared" si="1"/>
        <v>6548.0427046263349</v>
      </c>
      <c r="E35" s="17">
        <v>34</v>
      </c>
      <c r="F35" s="18">
        <v>43983</v>
      </c>
      <c r="G35" s="1">
        <v>1</v>
      </c>
      <c r="H35" s="2">
        <v>0.7</v>
      </c>
      <c r="I35" s="3">
        <v>3.67</v>
      </c>
      <c r="J35" s="3">
        <v>8.43</v>
      </c>
      <c r="K35" s="4">
        <v>5.52</v>
      </c>
      <c r="L35" s="11">
        <f t="shared" si="0"/>
        <v>3.8639999999999994</v>
      </c>
      <c r="M35" s="79" t="s">
        <v>731</v>
      </c>
      <c r="N35" s="67" t="s">
        <v>730</v>
      </c>
    </row>
    <row r="36" spans="1:14" x14ac:dyDescent="0.2">
      <c r="A36" s="19" t="s">
        <v>25</v>
      </c>
      <c r="B36" s="65" t="s">
        <v>707</v>
      </c>
      <c r="C36" s="64" t="s">
        <v>85</v>
      </c>
      <c r="D36" s="20">
        <f t="shared" si="1"/>
        <v>6580.4274465691778</v>
      </c>
      <c r="E36" s="17">
        <v>35</v>
      </c>
      <c r="F36" s="18">
        <v>43984</v>
      </c>
      <c r="G36" s="1">
        <v>2</v>
      </c>
      <c r="H36" s="2">
        <v>0.75</v>
      </c>
      <c r="I36" s="3">
        <v>3.86</v>
      </c>
      <c r="J36" s="3">
        <v>8.89</v>
      </c>
      <c r="K36" s="4">
        <v>5.85</v>
      </c>
      <c r="L36" s="11">
        <f t="shared" si="0"/>
        <v>4.3874999999999993</v>
      </c>
      <c r="M36" s="79" t="s">
        <v>745</v>
      </c>
      <c r="N36" s="25"/>
    </row>
    <row r="37" spans="1:14" x14ac:dyDescent="0.2">
      <c r="A37" s="19" t="s">
        <v>86</v>
      </c>
      <c r="B37" s="19" t="s">
        <v>88</v>
      </c>
      <c r="C37" s="64" t="s">
        <v>87</v>
      </c>
      <c r="D37" s="20">
        <f t="shared" si="1"/>
        <v>4088.9830508474579</v>
      </c>
      <c r="E37" s="17">
        <v>36</v>
      </c>
      <c r="F37" s="18">
        <v>43985</v>
      </c>
      <c r="G37" s="1">
        <v>3</v>
      </c>
      <c r="H37" s="2">
        <v>0.41</v>
      </c>
      <c r="I37" s="3">
        <v>2.62</v>
      </c>
      <c r="J37" s="3">
        <v>4.72</v>
      </c>
      <c r="K37" s="4">
        <v>1.93</v>
      </c>
      <c r="L37" s="11">
        <f t="shared" si="0"/>
        <v>0.79129999999999989</v>
      </c>
      <c r="M37" s="79" t="s">
        <v>694</v>
      </c>
      <c r="N37" s="25"/>
    </row>
    <row r="38" spans="1:14" x14ac:dyDescent="0.2">
      <c r="A38" s="19" t="s">
        <v>55</v>
      </c>
      <c r="B38" s="19" t="s">
        <v>90</v>
      </c>
      <c r="C38" s="64" t="s">
        <v>89</v>
      </c>
      <c r="D38" s="20">
        <f t="shared" ref="D38:D69" si="2">K38/J38*10000</f>
        <v>7293.6400541271987</v>
      </c>
      <c r="E38" s="17">
        <v>37</v>
      </c>
      <c r="F38" s="18">
        <v>43986</v>
      </c>
      <c r="G38" s="1">
        <v>4</v>
      </c>
      <c r="H38" s="2">
        <v>0.6</v>
      </c>
      <c r="I38" s="3">
        <v>3.69</v>
      </c>
      <c r="J38" s="3">
        <v>7.39</v>
      </c>
      <c r="K38" s="4">
        <v>5.39</v>
      </c>
      <c r="L38" s="11">
        <f t="shared" si="0"/>
        <v>3.2339999999999995</v>
      </c>
      <c r="M38" s="79" t="s">
        <v>701</v>
      </c>
      <c r="N38" s="25"/>
    </row>
    <row r="39" spans="1:14" x14ac:dyDescent="0.2">
      <c r="A39" s="19" t="s">
        <v>28</v>
      </c>
      <c r="B39" s="19" t="s">
        <v>92</v>
      </c>
      <c r="C39" s="64" t="s">
        <v>91</v>
      </c>
      <c r="D39" s="20">
        <f t="shared" si="2"/>
        <v>7025.8980785296581</v>
      </c>
      <c r="E39" s="17">
        <v>38</v>
      </c>
      <c r="F39" s="18">
        <v>43987</v>
      </c>
      <c r="G39" s="1">
        <v>5</v>
      </c>
      <c r="H39" s="2">
        <v>1</v>
      </c>
      <c r="I39" s="3">
        <v>5.98</v>
      </c>
      <c r="J39" s="3">
        <v>11.97</v>
      </c>
      <c r="K39" s="4">
        <v>8.41</v>
      </c>
      <c r="L39" s="11">
        <f t="shared" si="0"/>
        <v>8.41</v>
      </c>
      <c r="M39" s="85" t="s">
        <v>612</v>
      </c>
      <c r="N39" s="67" t="s">
        <v>611</v>
      </c>
    </row>
    <row r="40" spans="1:14" x14ac:dyDescent="0.2">
      <c r="A40" s="19" t="s">
        <v>69</v>
      </c>
      <c r="B40" s="19" t="s">
        <v>70</v>
      </c>
      <c r="C40" s="19" t="s">
        <v>567</v>
      </c>
      <c r="D40" s="20">
        <f t="shared" si="2"/>
        <v>2431.8134499271287</v>
      </c>
      <c r="E40" s="17">
        <v>39</v>
      </c>
      <c r="F40" s="18">
        <v>43988</v>
      </c>
      <c r="G40" s="1">
        <v>6</v>
      </c>
      <c r="H40" s="2">
        <v>0.51</v>
      </c>
      <c r="I40" s="3">
        <v>19.21</v>
      </c>
      <c r="J40" s="3">
        <v>48.03</v>
      </c>
      <c r="K40" s="4">
        <v>11.68</v>
      </c>
      <c r="L40" s="11">
        <f t="shared" si="0"/>
        <v>5.9568000000000003</v>
      </c>
      <c r="M40" s="85" t="s">
        <v>671</v>
      </c>
      <c r="N40" s="67" t="s">
        <v>672</v>
      </c>
    </row>
    <row r="41" spans="1:14" x14ac:dyDescent="0.2">
      <c r="A41" s="65" t="s">
        <v>558</v>
      </c>
      <c r="B41" s="65" t="s">
        <v>557</v>
      </c>
      <c r="C41" s="64" t="s">
        <v>94</v>
      </c>
      <c r="D41" s="20">
        <f t="shared" si="2"/>
        <v>1512.3739688359303</v>
      </c>
      <c r="E41" s="17">
        <v>40</v>
      </c>
      <c r="F41" s="18">
        <v>43989</v>
      </c>
      <c r="G41" s="1">
        <v>7</v>
      </c>
      <c r="H41" s="2">
        <v>0.6</v>
      </c>
      <c r="I41" s="3">
        <v>7.27</v>
      </c>
      <c r="J41" s="3">
        <v>10.91</v>
      </c>
      <c r="K41" s="4">
        <v>1.65</v>
      </c>
      <c r="L41" s="11">
        <f t="shared" si="0"/>
        <v>0.98999999999999988</v>
      </c>
      <c r="M41" s="66" t="s">
        <v>778</v>
      </c>
      <c r="N41" s="68" t="s">
        <v>781</v>
      </c>
    </row>
    <row r="42" spans="1:14" s="17" customFormat="1" x14ac:dyDescent="0.2">
      <c r="A42" s="19" t="s">
        <v>95</v>
      </c>
      <c r="B42" s="19" t="s">
        <v>96</v>
      </c>
      <c r="C42" s="64" t="s">
        <v>555</v>
      </c>
      <c r="D42" s="20">
        <f t="shared" si="2"/>
        <v>7743.0555555555557</v>
      </c>
      <c r="E42" s="17">
        <v>41</v>
      </c>
      <c r="F42" s="18">
        <v>43990</v>
      </c>
      <c r="G42" s="1">
        <v>8</v>
      </c>
      <c r="H42" s="2">
        <v>0.4</v>
      </c>
      <c r="I42" s="3">
        <v>7.54</v>
      </c>
      <c r="J42" s="3">
        <v>14.4</v>
      </c>
      <c r="K42" s="4">
        <v>11.15</v>
      </c>
      <c r="L42" s="11">
        <f t="shared" si="0"/>
        <v>4.46</v>
      </c>
      <c r="M42" s="66" t="s">
        <v>675</v>
      </c>
      <c r="N42" s="68" t="s">
        <v>561</v>
      </c>
    </row>
    <row r="43" spans="1:14" x14ac:dyDescent="0.2">
      <c r="A43" s="19" t="s">
        <v>45</v>
      </c>
      <c r="B43" s="19" t="s">
        <v>97</v>
      </c>
      <c r="C43" s="19" t="s">
        <v>779</v>
      </c>
      <c r="D43" s="20">
        <f t="shared" si="2"/>
        <v>1945.2275473217883</v>
      </c>
      <c r="E43" s="17">
        <v>42</v>
      </c>
      <c r="F43" s="18">
        <v>43991</v>
      </c>
      <c r="G43" s="1">
        <v>9</v>
      </c>
      <c r="H43" s="2">
        <v>0.49</v>
      </c>
      <c r="I43" s="3">
        <v>9.1999999999999993</v>
      </c>
      <c r="J43" s="3">
        <v>24.83</v>
      </c>
      <c r="K43" s="4">
        <v>4.83</v>
      </c>
      <c r="L43" s="11">
        <f t="shared" si="0"/>
        <v>2.3666999999999998</v>
      </c>
      <c r="M43" s="25"/>
      <c r="N43" s="25"/>
    </row>
    <row r="44" spans="1:14" x14ac:dyDescent="0.2">
      <c r="A44" s="19" t="s">
        <v>98</v>
      </c>
      <c r="B44" s="19" t="s">
        <v>99</v>
      </c>
      <c r="C44" s="65" t="s">
        <v>595</v>
      </c>
      <c r="D44" s="20">
        <f t="shared" si="2"/>
        <v>1217.6768367765769</v>
      </c>
      <c r="E44" s="17">
        <v>43</v>
      </c>
      <c r="F44" s="18">
        <v>43992</v>
      </c>
      <c r="G44" s="1">
        <v>10</v>
      </c>
      <c r="H44" s="2">
        <v>0.6</v>
      </c>
      <c r="I44" s="3">
        <v>27.38</v>
      </c>
      <c r="J44" s="3">
        <v>73.09</v>
      </c>
      <c r="K44" s="4">
        <v>8.9</v>
      </c>
      <c r="L44" s="11">
        <f t="shared" si="0"/>
        <v>5.34</v>
      </c>
      <c r="M44" s="79" t="s">
        <v>597</v>
      </c>
      <c r="N44" s="67" t="s">
        <v>596</v>
      </c>
    </row>
    <row r="45" spans="1:14" x14ac:dyDescent="0.2">
      <c r="A45" s="19" t="s">
        <v>100</v>
      </c>
      <c r="B45" s="19" t="s">
        <v>101</v>
      </c>
      <c r="C45" s="19" t="s">
        <v>623</v>
      </c>
      <c r="D45" s="20">
        <f t="shared" si="2"/>
        <v>10597.539543057997</v>
      </c>
      <c r="E45" s="17">
        <v>44</v>
      </c>
      <c r="F45" s="18">
        <v>43993</v>
      </c>
      <c r="G45" s="1">
        <v>11</v>
      </c>
      <c r="H45" s="2">
        <v>0.7</v>
      </c>
      <c r="I45" s="3">
        <v>2.27</v>
      </c>
      <c r="J45" s="3">
        <v>5.69</v>
      </c>
      <c r="K45" s="4">
        <v>6.03</v>
      </c>
      <c r="L45" s="11">
        <f t="shared" si="0"/>
        <v>4.2210000000000001</v>
      </c>
      <c r="M45" s="85" t="s">
        <v>625</v>
      </c>
      <c r="N45" s="67" t="s">
        <v>624</v>
      </c>
    </row>
    <row r="46" spans="1:14" x14ac:dyDescent="0.2">
      <c r="A46" s="19" t="s">
        <v>102</v>
      </c>
      <c r="B46" s="65" t="s">
        <v>627</v>
      </c>
      <c r="C46" s="19" t="s">
        <v>103</v>
      </c>
      <c r="D46" s="20">
        <f t="shared" si="2"/>
        <v>5000</v>
      </c>
      <c r="E46" s="17">
        <v>45</v>
      </c>
      <c r="F46" s="18">
        <v>43994</v>
      </c>
      <c r="G46" s="1">
        <v>12</v>
      </c>
      <c r="H46" s="2">
        <v>0.9</v>
      </c>
      <c r="I46" s="3">
        <v>3.48</v>
      </c>
      <c r="J46" s="3">
        <v>8.6999999999999993</v>
      </c>
      <c r="K46" s="4">
        <v>4.3499999999999996</v>
      </c>
      <c r="L46" s="11">
        <f t="shared" si="0"/>
        <v>3.9149999999999996</v>
      </c>
      <c r="M46" s="79" t="s">
        <v>628</v>
      </c>
      <c r="N46" s="67" t="s">
        <v>626</v>
      </c>
    </row>
    <row r="47" spans="1:14" x14ac:dyDescent="0.2">
      <c r="A47" s="19" t="s">
        <v>104</v>
      </c>
      <c r="B47" s="19" t="s">
        <v>105</v>
      </c>
      <c r="C47" s="64" t="s">
        <v>651</v>
      </c>
      <c r="D47" s="20">
        <f t="shared" si="2"/>
        <v>1331.7591499409682</v>
      </c>
      <c r="E47" s="17">
        <v>46</v>
      </c>
      <c r="F47" s="18">
        <v>43995</v>
      </c>
      <c r="G47" s="1">
        <v>13</v>
      </c>
      <c r="H47" s="2">
        <v>1</v>
      </c>
      <c r="I47" s="3">
        <v>10.08</v>
      </c>
      <c r="J47" s="3">
        <v>42.35</v>
      </c>
      <c r="K47" s="4">
        <v>5.64</v>
      </c>
      <c r="L47" s="11">
        <f t="shared" si="0"/>
        <v>5.64</v>
      </c>
      <c r="M47" s="79" t="s">
        <v>653</v>
      </c>
      <c r="N47" s="67" t="s">
        <v>652</v>
      </c>
    </row>
    <row r="48" spans="1:14" x14ac:dyDescent="0.2">
      <c r="A48" s="19" t="s">
        <v>47</v>
      </c>
      <c r="B48" s="19" t="s">
        <v>106</v>
      </c>
      <c r="C48" s="19" t="s">
        <v>711</v>
      </c>
      <c r="D48" s="20">
        <f t="shared" si="2"/>
        <v>3364.2384105960264</v>
      </c>
      <c r="E48" s="17">
        <v>47</v>
      </c>
      <c r="F48" s="18">
        <v>44013</v>
      </c>
      <c r="G48" s="1">
        <v>1</v>
      </c>
      <c r="H48" s="2">
        <v>0.5</v>
      </c>
      <c r="I48" s="3">
        <v>5.37</v>
      </c>
      <c r="J48" s="3">
        <v>7.55</v>
      </c>
      <c r="K48" s="4">
        <v>2.54</v>
      </c>
      <c r="L48" s="11">
        <f t="shared" si="0"/>
        <v>1.27</v>
      </c>
      <c r="M48" s="85" t="s">
        <v>712</v>
      </c>
      <c r="N48" s="25"/>
    </row>
    <row r="49" spans="1:14" x14ac:dyDescent="0.2">
      <c r="A49" s="19" t="s">
        <v>107</v>
      </c>
      <c r="B49" s="19" t="s">
        <v>108</v>
      </c>
      <c r="C49" s="19" t="s">
        <v>760</v>
      </c>
      <c r="D49" s="20">
        <f t="shared" si="2"/>
        <v>3214.2857142857147</v>
      </c>
      <c r="E49" s="17">
        <v>48</v>
      </c>
      <c r="F49" s="18">
        <v>44014</v>
      </c>
      <c r="G49" s="1">
        <v>2</v>
      </c>
      <c r="H49" s="5">
        <v>0.2475</v>
      </c>
      <c r="I49" s="3">
        <v>4.71</v>
      </c>
      <c r="J49" s="3">
        <v>10.36</v>
      </c>
      <c r="K49" s="4">
        <v>3.33</v>
      </c>
      <c r="L49" s="11">
        <f t="shared" si="0"/>
        <v>0.82417499999999999</v>
      </c>
      <c r="M49" s="85" t="s">
        <v>761</v>
      </c>
      <c r="N49" s="67" t="s">
        <v>762</v>
      </c>
    </row>
    <row r="50" spans="1:14" x14ac:dyDescent="0.2">
      <c r="A50" s="19" t="s">
        <v>41</v>
      </c>
      <c r="B50" s="19" t="s">
        <v>109</v>
      </c>
      <c r="C50" s="19" t="s">
        <v>721</v>
      </c>
      <c r="D50" s="20">
        <f t="shared" si="2"/>
        <v>7002.2371364653245</v>
      </c>
      <c r="E50" s="17">
        <v>49</v>
      </c>
      <c r="F50" s="18">
        <v>44015</v>
      </c>
      <c r="G50" s="1">
        <v>3</v>
      </c>
      <c r="H50" s="2">
        <v>0.51</v>
      </c>
      <c r="I50" s="3">
        <v>3.72</v>
      </c>
      <c r="J50" s="3">
        <v>4.47</v>
      </c>
      <c r="K50" s="4">
        <v>3.13</v>
      </c>
      <c r="L50" s="11">
        <f t="shared" si="0"/>
        <v>1.5963000000000001</v>
      </c>
      <c r="M50" s="79" t="s">
        <v>722</v>
      </c>
      <c r="N50" s="25"/>
    </row>
    <row r="51" spans="1:14" ht="27.75" x14ac:dyDescent="0.2">
      <c r="A51" s="19" t="s">
        <v>38</v>
      </c>
      <c r="B51" s="19" t="s">
        <v>50</v>
      </c>
      <c r="C51" s="64" t="s">
        <v>780</v>
      </c>
      <c r="D51" s="20">
        <f t="shared" si="2"/>
        <v>7054.845980465815</v>
      </c>
      <c r="E51" s="17">
        <v>50</v>
      </c>
      <c r="F51" s="18">
        <v>44016</v>
      </c>
      <c r="G51" s="1">
        <v>4</v>
      </c>
      <c r="H51" s="2">
        <v>1</v>
      </c>
      <c r="I51" s="3">
        <v>7.39</v>
      </c>
      <c r="J51" s="3">
        <v>13.31</v>
      </c>
      <c r="K51" s="4">
        <v>9.39</v>
      </c>
      <c r="L51" s="11">
        <f t="shared" si="0"/>
        <v>9.39</v>
      </c>
      <c r="M51" s="87" t="s">
        <v>783</v>
      </c>
      <c r="N51" s="67" t="s">
        <v>782</v>
      </c>
    </row>
    <row r="52" spans="1:14" x14ac:dyDescent="0.2">
      <c r="A52" s="19" t="s">
        <v>38</v>
      </c>
      <c r="B52" s="19" t="s">
        <v>50</v>
      </c>
      <c r="C52" s="19" t="s">
        <v>6</v>
      </c>
      <c r="D52" s="20">
        <f t="shared" si="2"/>
        <v>7849.8852835136013</v>
      </c>
      <c r="E52" s="17">
        <v>51</v>
      </c>
      <c r="F52" s="18">
        <v>44017</v>
      </c>
      <c r="G52" s="1">
        <v>5</v>
      </c>
      <c r="H52" s="2">
        <v>0.4</v>
      </c>
      <c r="I52" s="3">
        <v>17.04</v>
      </c>
      <c r="J52" s="3">
        <v>30.51</v>
      </c>
      <c r="K52" s="4">
        <v>23.95</v>
      </c>
      <c r="L52" s="11">
        <f t="shared" si="0"/>
        <v>9.58</v>
      </c>
      <c r="M52" s="85" t="s">
        <v>788</v>
      </c>
      <c r="N52" s="67" t="s">
        <v>787</v>
      </c>
    </row>
    <row r="53" spans="1:14" x14ac:dyDescent="0.2">
      <c r="A53" s="19" t="s">
        <v>110</v>
      </c>
      <c r="B53" s="19" t="s">
        <v>111</v>
      </c>
      <c r="C53" s="64" t="s">
        <v>746</v>
      </c>
      <c r="D53" s="20">
        <f t="shared" si="2"/>
        <v>5614.3162393162393</v>
      </c>
      <c r="E53" s="17">
        <v>52</v>
      </c>
      <c r="F53" s="18">
        <v>44018</v>
      </c>
      <c r="G53" s="1">
        <v>6</v>
      </c>
      <c r="H53" s="2">
        <v>0.6</v>
      </c>
      <c r="I53" s="3">
        <v>7.8</v>
      </c>
      <c r="J53" s="3">
        <v>18.72</v>
      </c>
      <c r="K53" s="4">
        <v>10.51</v>
      </c>
      <c r="L53" s="11">
        <f t="shared" si="0"/>
        <v>6.306</v>
      </c>
      <c r="M53" s="79" t="s">
        <v>748</v>
      </c>
      <c r="N53" s="67" t="s">
        <v>747</v>
      </c>
    </row>
    <row r="54" spans="1:14" x14ac:dyDescent="0.2">
      <c r="A54" s="19" t="s">
        <v>112</v>
      </c>
      <c r="B54" s="19" t="s">
        <v>113</v>
      </c>
      <c r="C54" s="64" t="s">
        <v>690</v>
      </c>
      <c r="D54" s="20">
        <f t="shared" si="2"/>
        <v>1540.4530744336569</v>
      </c>
      <c r="E54" s="17">
        <v>53</v>
      </c>
      <c r="F54" s="18">
        <v>44019</v>
      </c>
      <c r="G54" s="1">
        <v>7</v>
      </c>
      <c r="H54" s="2">
        <v>1</v>
      </c>
      <c r="I54" s="3">
        <v>7.02</v>
      </c>
      <c r="J54" s="3">
        <v>15.45</v>
      </c>
      <c r="K54" s="4">
        <v>2.38</v>
      </c>
      <c r="L54" s="11">
        <f t="shared" si="0"/>
        <v>2.38</v>
      </c>
      <c r="M54" s="85" t="s">
        <v>693</v>
      </c>
      <c r="N54" s="67" t="s">
        <v>691</v>
      </c>
    </row>
    <row r="55" spans="1:14" x14ac:dyDescent="0.2">
      <c r="A55" s="19" t="s">
        <v>114</v>
      </c>
      <c r="B55" s="19" t="s">
        <v>115</v>
      </c>
      <c r="C55" s="19" t="s">
        <v>749</v>
      </c>
      <c r="D55" s="20">
        <f t="shared" si="2"/>
        <v>2280.8988764044939</v>
      </c>
      <c r="E55" s="17">
        <v>54</v>
      </c>
      <c r="F55" s="18">
        <v>44020</v>
      </c>
      <c r="G55" s="1">
        <v>8</v>
      </c>
      <c r="H55" s="2">
        <v>1</v>
      </c>
      <c r="I55" s="3">
        <v>8.9</v>
      </c>
      <c r="J55" s="3">
        <v>17.8</v>
      </c>
      <c r="K55" s="4">
        <v>4.0599999999999996</v>
      </c>
      <c r="L55" s="11">
        <f t="shared" si="0"/>
        <v>4.0599999999999996</v>
      </c>
      <c r="M55" s="79" t="s">
        <v>750</v>
      </c>
      <c r="N55" s="25"/>
    </row>
    <row r="56" spans="1:14" x14ac:dyDescent="0.2">
      <c r="A56" s="19" t="s">
        <v>93</v>
      </c>
      <c r="B56" s="65" t="s">
        <v>556</v>
      </c>
      <c r="C56" s="64" t="s">
        <v>116</v>
      </c>
      <c r="D56" s="20">
        <f t="shared" si="2"/>
        <v>977.2883688919477</v>
      </c>
      <c r="E56" s="17">
        <v>55</v>
      </c>
      <c r="F56" s="18">
        <v>44021</v>
      </c>
      <c r="G56" s="1">
        <v>9</v>
      </c>
      <c r="H56" s="2">
        <v>0.6</v>
      </c>
      <c r="I56" s="3">
        <v>7.27</v>
      </c>
      <c r="J56" s="3">
        <v>14.53</v>
      </c>
      <c r="K56" s="4">
        <v>1.42</v>
      </c>
      <c r="L56" s="11">
        <f t="shared" si="0"/>
        <v>0.85199999999999998</v>
      </c>
      <c r="M56" s="66" t="s">
        <v>786</v>
      </c>
      <c r="N56" s="68" t="s">
        <v>785</v>
      </c>
    </row>
    <row r="57" spans="1:14" x14ac:dyDescent="0.2">
      <c r="A57" s="19" t="s">
        <v>62</v>
      </c>
      <c r="B57" s="65" t="s">
        <v>660</v>
      </c>
      <c r="C57" s="64" t="s">
        <v>658</v>
      </c>
      <c r="D57" s="20">
        <f t="shared" si="2"/>
        <v>1661.3076098606646</v>
      </c>
      <c r="E57" s="17">
        <v>56</v>
      </c>
      <c r="F57" s="18">
        <v>44022</v>
      </c>
      <c r="G57" s="1">
        <v>10</v>
      </c>
      <c r="H57" s="2">
        <v>0.51</v>
      </c>
      <c r="I57" s="3">
        <v>3.33</v>
      </c>
      <c r="J57" s="3">
        <v>9.33</v>
      </c>
      <c r="K57" s="4">
        <v>1.55</v>
      </c>
      <c r="L57" s="11">
        <f t="shared" si="0"/>
        <v>0.79050000000000009</v>
      </c>
      <c r="M57" s="79" t="s">
        <v>659</v>
      </c>
      <c r="N57" s="67" t="s">
        <v>666</v>
      </c>
    </row>
    <row r="58" spans="1:14" x14ac:dyDescent="0.2">
      <c r="A58" s="19" t="s">
        <v>117</v>
      </c>
      <c r="B58" s="19" t="s">
        <v>118</v>
      </c>
      <c r="C58" s="64" t="s">
        <v>593</v>
      </c>
      <c r="D58" s="20">
        <f t="shared" si="2"/>
        <v>4603.1746031746025</v>
      </c>
      <c r="E58" s="17">
        <v>57</v>
      </c>
      <c r="F58" s="18">
        <v>44023</v>
      </c>
      <c r="G58" s="1">
        <v>11</v>
      </c>
      <c r="H58" s="2">
        <v>1</v>
      </c>
      <c r="I58" s="3">
        <v>2.4500000000000002</v>
      </c>
      <c r="J58" s="3">
        <v>4.41</v>
      </c>
      <c r="K58" s="4">
        <v>2.0299999999999998</v>
      </c>
      <c r="L58" s="11">
        <f t="shared" si="0"/>
        <v>2.0299999999999998</v>
      </c>
      <c r="M58" s="79" t="s">
        <v>804</v>
      </c>
      <c r="N58" s="25"/>
    </row>
    <row r="59" spans="1:14" x14ac:dyDescent="0.2">
      <c r="A59" s="19" t="s">
        <v>119</v>
      </c>
      <c r="B59" s="65" t="s">
        <v>633</v>
      </c>
      <c r="C59" s="19" t="s">
        <v>632</v>
      </c>
      <c r="D59" s="20">
        <f t="shared" si="2"/>
        <v>5641.9213973799133</v>
      </c>
      <c r="E59" s="17">
        <v>58</v>
      </c>
      <c r="F59" s="18">
        <v>44024</v>
      </c>
      <c r="G59" s="1">
        <v>12</v>
      </c>
      <c r="H59" s="2">
        <v>1</v>
      </c>
      <c r="I59" s="3">
        <v>4.58</v>
      </c>
      <c r="J59" s="3">
        <v>11.45</v>
      </c>
      <c r="K59" s="4">
        <v>6.46</v>
      </c>
      <c r="L59" s="11">
        <f t="shared" si="0"/>
        <v>6.46</v>
      </c>
      <c r="M59" s="85" t="s">
        <v>634</v>
      </c>
      <c r="N59" s="67" t="s">
        <v>639</v>
      </c>
    </row>
    <row r="60" spans="1:14" ht="28.5" x14ac:dyDescent="0.2">
      <c r="A60" s="65" t="s">
        <v>638</v>
      </c>
      <c r="B60" s="65" t="s">
        <v>635</v>
      </c>
      <c r="C60" s="19" t="s">
        <v>636</v>
      </c>
      <c r="D60" s="20">
        <f t="shared" si="2"/>
        <v>1250.9505703422053</v>
      </c>
      <c r="E60" s="17">
        <v>59</v>
      </c>
      <c r="F60" s="18">
        <v>44025</v>
      </c>
      <c r="G60" s="1">
        <v>13</v>
      </c>
      <c r="H60" s="2">
        <v>0.3</v>
      </c>
      <c r="I60" s="3">
        <v>19.57</v>
      </c>
      <c r="J60" s="3">
        <v>26.3</v>
      </c>
      <c r="K60" s="4">
        <v>3.29</v>
      </c>
      <c r="L60" s="11">
        <f t="shared" si="0"/>
        <v>0.98699999999999999</v>
      </c>
      <c r="M60" s="79" t="s">
        <v>641</v>
      </c>
      <c r="N60" s="67" t="s">
        <v>640</v>
      </c>
    </row>
    <row r="61" spans="1:14" x14ac:dyDescent="0.2">
      <c r="A61" s="19" t="s">
        <v>41</v>
      </c>
      <c r="B61" s="19" t="s">
        <v>42</v>
      </c>
      <c r="C61" s="19" t="s">
        <v>723</v>
      </c>
      <c r="D61" s="20">
        <f t="shared" si="2"/>
        <v>6138.7066541705717</v>
      </c>
      <c r="E61" s="17">
        <v>60</v>
      </c>
      <c r="F61" s="18">
        <v>44044</v>
      </c>
      <c r="G61" s="1">
        <v>1</v>
      </c>
      <c r="H61" s="2">
        <v>0.49</v>
      </c>
      <c r="I61" s="3">
        <v>5.33</v>
      </c>
      <c r="J61" s="3">
        <v>10.67</v>
      </c>
      <c r="K61" s="4">
        <v>6.55</v>
      </c>
      <c r="L61" s="11">
        <f t="shared" si="0"/>
        <v>3.2094999999999998</v>
      </c>
      <c r="M61" s="79" t="s">
        <v>725</v>
      </c>
      <c r="N61" s="67" t="s">
        <v>724</v>
      </c>
    </row>
    <row r="62" spans="1:14" x14ac:dyDescent="0.2">
      <c r="A62" s="19" t="s">
        <v>41</v>
      </c>
      <c r="B62" s="19" t="s">
        <v>120</v>
      </c>
      <c r="C62" s="64" t="s">
        <v>726</v>
      </c>
      <c r="D62" s="20">
        <f t="shared" si="2"/>
        <v>6111.7318435754187</v>
      </c>
      <c r="E62" s="17">
        <v>61</v>
      </c>
      <c r="F62" s="18">
        <v>44075</v>
      </c>
      <c r="G62" s="1">
        <v>1</v>
      </c>
      <c r="H62" s="2">
        <v>1</v>
      </c>
      <c r="I62" s="3">
        <v>4.07</v>
      </c>
      <c r="J62" s="3">
        <v>8.9499999999999993</v>
      </c>
      <c r="K62" s="4">
        <v>5.47</v>
      </c>
      <c r="L62" s="11">
        <f t="shared" si="0"/>
        <v>5.47</v>
      </c>
      <c r="M62" s="79" t="s">
        <v>727</v>
      </c>
      <c r="N62" s="25"/>
    </row>
    <row r="63" spans="1:14" ht="27.75" x14ac:dyDescent="0.2">
      <c r="A63" s="19" t="s">
        <v>38</v>
      </c>
      <c r="B63" s="19" t="s">
        <v>39</v>
      </c>
      <c r="C63" s="19" t="s">
        <v>789</v>
      </c>
      <c r="D63" s="20">
        <f t="shared" si="2"/>
        <v>11626.724763979668</v>
      </c>
      <c r="E63" s="17">
        <v>62</v>
      </c>
      <c r="F63" s="18">
        <v>44076</v>
      </c>
      <c r="G63" s="1">
        <v>2</v>
      </c>
      <c r="H63" s="2">
        <v>0.2</v>
      </c>
      <c r="I63" s="3">
        <v>6.26</v>
      </c>
      <c r="J63" s="3">
        <v>13.77</v>
      </c>
      <c r="K63" s="4">
        <v>16.010000000000002</v>
      </c>
      <c r="L63" s="11">
        <f t="shared" si="0"/>
        <v>3.2020000000000004</v>
      </c>
      <c r="M63" s="87" t="s">
        <v>790</v>
      </c>
      <c r="N63" s="25"/>
    </row>
    <row r="64" spans="1:14" x14ac:dyDescent="0.2">
      <c r="A64" s="19" t="s">
        <v>121</v>
      </c>
      <c r="B64" s="19" t="s">
        <v>122</v>
      </c>
      <c r="C64" s="19" t="s">
        <v>735</v>
      </c>
      <c r="D64" s="20">
        <f t="shared" si="2"/>
        <v>6791.2772585669791</v>
      </c>
      <c r="E64" s="17">
        <v>63</v>
      </c>
      <c r="F64" s="18">
        <v>44077</v>
      </c>
      <c r="G64" s="1">
        <v>3</v>
      </c>
      <c r="H64" s="2">
        <v>0.33</v>
      </c>
      <c r="I64" s="3">
        <v>4.01</v>
      </c>
      <c r="J64" s="3">
        <v>6.42</v>
      </c>
      <c r="K64" s="4">
        <v>4.3600000000000003</v>
      </c>
      <c r="L64" s="11">
        <f t="shared" si="0"/>
        <v>1.4388000000000001</v>
      </c>
      <c r="M64" s="85" t="s">
        <v>737</v>
      </c>
      <c r="N64" s="67" t="s">
        <v>736</v>
      </c>
    </row>
    <row r="65" spans="1:14" x14ac:dyDescent="0.2">
      <c r="A65" s="19" t="s">
        <v>123</v>
      </c>
      <c r="B65" s="19" t="s">
        <v>124</v>
      </c>
      <c r="C65" s="64" t="s">
        <v>751</v>
      </c>
      <c r="D65" s="20">
        <f t="shared" si="2"/>
        <v>8621.4442013129101</v>
      </c>
      <c r="E65" s="17">
        <v>64</v>
      </c>
      <c r="F65" s="18">
        <v>44078</v>
      </c>
      <c r="G65" s="1">
        <v>4</v>
      </c>
      <c r="H65" s="2">
        <v>0.7</v>
      </c>
      <c r="I65" s="3">
        <v>4.57</v>
      </c>
      <c r="J65" s="3">
        <v>9.14</v>
      </c>
      <c r="K65" s="4">
        <v>7.88</v>
      </c>
      <c r="L65" s="11">
        <f t="shared" si="0"/>
        <v>5.516</v>
      </c>
      <c r="M65" s="85" t="s">
        <v>755</v>
      </c>
      <c r="N65" s="67" t="s">
        <v>752</v>
      </c>
    </row>
    <row r="66" spans="1:14" x14ac:dyDescent="0.2">
      <c r="A66" s="19" t="s">
        <v>25</v>
      </c>
      <c r="B66" s="19" t="s">
        <v>125</v>
      </c>
      <c r="C66" s="19" t="s">
        <v>5</v>
      </c>
      <c r="D66" s="20">
        <f t="shared" si="2"/>
        <v>7917.1974522292994</v>
      </c>
      <c r="E66" s="17">
        <v>65</v>
      </c>
      <c r="F66" s="18">
        <v>44079</v>
      </c>
      <c r="G66" s="1">
        <v>5</v>
      </c>
      <c r="H66" s="2">
        <v>0.25</v>
      </c>
      <c r="I66" s="3">
        <v>14.27</v>
      </c>
      <c r="J66" s="3">
        <v>31.4</v>
      </c>
      <c r="K66" s="4">
        <v>24.86</v>
      </c>
      <c r="L66" s="11">
        <f t="shared" si="0"/>
        <v>6.2149999999999999</v>
      </c>
      <c r="M66" s="79" t="s">
        <v>733</v>
      </c>
      <c r="N66" s="25"/>
    </row>
    <row r="67" spans="1:14" x14ac:dyDescent="0.2">
      <c r="A67" s="19" t="s">
        <v>126</v>
      </c>
      <c r="B67" s="19" t="s">
        <v>127</v>
      </c>
      <c r="C67" s="64" t="s">
        <v>756</v>
      </c>
      <c r="D67" s="20">
        <f t="shared" si="2"/>
        <v>10743.243243243243</v>
      </c>
      <c r="E67" s="17">
        <v>66</v>
      </c>
      <c r="F67" s="18">
        <v>44080</v>
      </c>
      <c r="G67" s="1">
        <v>6</v>
      </c>
      <c r="H67" s="2">
        <v>0.49</v>
      </c>
      <c r="I67" s="3">
        <v>4.3899999999999997</v>
      </c>
      <c r="J67" s="3">
        <v>11.84</v>
      </c>
      <c r="K67" s="4">
        <v>12.72</v>
      </c>
      <c r="L67" s="11">
        <f t="shared" ref="L67:L108" si="3">K67*H67</f>
        <v>6.2328000000000001</v>
      </c>
      <c r="M67" s="85" t="s">
        <v>757</v>
      </c>
      <c r="N67" s="25"/>
    </row>
    <row r="68" spans="1:14" x14ac:dyDescent="0.2">
      <c r="A68" s="19" t="s">
        <v>31</v>
      </c>
      <c r="B68" s="65" t="s">
        <v>813</v>
      </c>
      <c r="C68" s="65" t="s">
        <v>685</v>
      </c>
      <c r="D68" s="20">
        <f t="shared" si="2"/>
        <v>2431.9629415170816</v>
      </c>
      <c r="E68" s="17">
        <v>67</v>
      </c>
      <c r="F68" s="18">
        <v>44081</v>
      </c>
      <c r="G68" s="1">
        <v>7</v>
      </c>
      <c r="H68" s="2">
        <v>0.33</v>
      </c>
      <c r="I68" s="3">
        <v>7.85</v>
      </c>
      <c r="J68" s="3">
        <v>17.27</v>
      </c>
      <c r="K68" s="4">
        <v>4.2</v>
      </c>
      <c r="L68" s="11">
        <f t="shared" si="3"/>
        <v>1.3860000000000001</v>
      </c>
      <c r="M68" s="25" t="s">
        <v>686</v>
      </c>
      <c r="N68" s="67" t="s">
        <v>692</v>
      </c>
    </row>
    <row r="69" spans="1:14" x14ac:dyDescent="0.2">
      <c r="A69" s="19" t="s">
        <v>55</v>
      </c>
      <c r="B69" s="19" t="s">
        <v>90</v>
      </c>
      <c r="C69" s="65" t="s">
        <v>702</v>
      </c>
      <c r="D69" s="20">
        <f t="shared" si="2"/>
        <v>5993.555316863587</v>
      </c>
      <c r="E69" s="17">
        <v>68</v>
      </c>
      <c r="F69" s="18">
        <v>44082</v>
      </c>
      <c r="G69" s="1">
        <v>8</v>
      </c>
      <c r="H69" s="2">
        <v>1</v>
      </c>
      <c r="I69" s="3">
        <v>5.17</v>
      </c>
      <c r="J69" s="3">
        <v>9.31</v>
      </c>
      <c r="K69" s="4">
        <v>5.58</v>
      </c>
      <c r="L69" s="11">
        <f t="shared" si="3"/>
        <v>5.58</v>
      </c>
      <c r="M69" s="79" t="s">
        <v>703</v>
      </c>
      <c r="N69" s="25"/>
    </row>
    <row r="70" spans="1:14" x14ac:dyDescent="0.2">
      <c r="A70" s="19" t="s">
        <v>128</v>
      </c>
      <c r="B70" s="19" t="s">
        <v>129</v>
      </c>
      <c r="C70" s="19" t="s">
        <v>16</v>
      </c>
      <c r="D70" s="20">
        <f t="shared" ref="D70:D91" si="4">K70/J70*10000</f>
        <v>5563.5491606714622</v>
      </c>
      <c r="E70" s="17">
        <v>69</v>
      </c>
      <c r="F70" s="18">
        <v>44083</v>
      </c>
      <c r="G70" s="1">
        <v>9</v>
      </c>
      <c r="H70" s="2">
        <v>1</v>
      </c>
      <c r="I70" s="3">
        <v>6.86</v>
      </c>
      <c r="J70" s="3">
        <v>12.51</v>
      </c>
      <c r="K70" s="4">
        <v>6.96</v>
      </c>
      <c r="L70" s="11">
        <f t="shared" si="3"/>
        <v>6.96</v>
      </c>
      <c r="M70" s="79" t="s">
        <v>654</v>
      </c>
      <c r="N70" s="67" t="s">
        <v>715</v>
      </c>
    </row>
    <row r="71" spans="1:14" x14ac:dyDescent="0.2">
      <c r="A71" s="19" t="s">
        <v>117</v>
      </c>
      <c r="B71" s="19" t="s">
        <v>84</v>
      </c>
      <c r="C71" s="19" t="s">
        <v>2</v>
      </c>
      <c r="D71" s="20">
        <f t="shared" si="4"/>
        <v>4542.1511627906975</v>
      </c>
      <c r="E71" s="17">
        <v>70</v>
      </c>
      <c r="F71" s="18">
        <v>44084</v>
      </c>
      <c r="G71" s="1">
        <v>10</v>
      </c>
      <c r="H71" s="2">
        <v>0.51</v>
      </c>
      <c r="I71" s="3">
        <v>4.59</v>
      </c>
      <c r="J71" s="3">
        <v>13.76</v>
      </c>
      <c r="K71" s="4">
        <v>6.25</v>
      </c>
      <c r="L71" s="11">
        <f t="shared" si="3"/>
        <v>3.1875</v>
      </c>
      <c r="M71" s="85" t="s">
        <v>791</v>
      </c>
      <c r="N71" s="25"/>
    </row>
    <row r="72" spans="1:14" x14ac:dyDescent="0.2">
      <c r="A72" s="23" t="s">
        <v>130</v>
      </c>
      <c r="B72" s="63" t="s">
        <v>550</v>
      </c>
      <c r="C72" s="23" t="s">
        <v>131</v>
      </c>
      <c r="D72" s="20">
        <v>11812.21</v>
      </c>
      <c r="E72" s="17">
        <v>71</v>
      </c>
      <c r="F72" s="22">
        <v>44085</v>
      </c>
      <c r="G72" s="6">
        <v>11</v>
      </c>
      <c r="H72" s="7">
        <v>1</v>
      </c>
      <c r="I72" s="8">
        <v>3.84</v>
      </c>
      <c r="J72" s="8">
        <v>17.3</v>
      </c>
      <c r="K72" s="9">
        <v>23.2</v>
      </c>
      <c r="L72" s="11">
        <f t="shared" si="3"/>
        <v>23.2</v>
      </c>
      <c r="M72" s="85" t="s">
        <v>616</v>
      </c>
      <c r="N72" s="25"/>
    </row>
    <row r="73" spans="1:14" x14ac:dyDescent="0.2">
      <c r="A73" s="23" t="s">
        <v>121</v>
      </c>
      <c r="B73" s="23" t="s">
        <v>132</v>
      </c>
      <c r="C73" s="23" t="s">
        <v>738</v>
      </c>
      <c r="D73" s="20">
        <f t="shared" si="4"/>
        <v>15600.145932141553</v>
      </c>
      <c r="E73" s="17">
        <v>72</v>
      </c>
      <c r="F73" s="24">
        <v>44105</v>
      </c>
      <c r="G73" s="23">
        <v>1</v>
      </c>
      <c r="H73" s="7">
        <v>0.05</v>
      </c>
      <c r="I73" s="8">
        <v>13.33</v>
      </c>
      <c r="J73" s="8">
        <v>27.41</v>
      </c>
      <c r="K73" s="9">
        <v>42.76</v>
      </c>
      <c r="L73" s="11">
        <f t="shared" si="3"/>
        <v>2.1379999999999999</v>
      </c>
      <c r="M73" s="79" t="s">
        <v>739</v>
      </c>
      <c r="N73" s="25"/>
    </row>
    <row r="74" spans="1:14" x14ac:dyDescent="0.2">
      <c r="A74" s="23" t="s">
        <v>121</v>
      </c>
      <c r="B74" s="23" t="s">
        <v>132</v>
      </c>
      <c r="C74" s="23" t="s">
        <v>133</v>
      </c>
      <c r="D74" s="20">
        <f t="shared" si="4"/>
        <v>1270.9497206703913</v>
      </c>
      <c r="E74" s="17">
        <v>73</v>
      </c>
      <c r="F74" s="24">
        <v>44106</v>
      </c>
      <c r="G74" s="23">
        <v>2</v>
      </c>
      <c r="H74" s="7">
        <v>0.1</v>
      </c>
      <c r="I74" s="8">
        <v>11.46</v>
      </c>
      <c r="J74" s="8">
        <v>35.799999999999997</v>
      </c>
      <c r="K74" s="9">
        <v>4.55</v>
      </c>
      <c r="L74" s="11">
        <f t="shared" si="3"/>
        <v>0.45500000000000002</v>
      </c>
      <c r="M74" s="79" t="s">
        <v>763</v>
      </c>
      <c r="N74" s="25"/>
    </row>
    <row r="75" spans="1:14" x14ac:dyDescent="0.2">
      <c r="A75" s="23" t="s">
        <v>121</v>
      </c>
      <c r="B75" s="23" t="s">
        <v>134</v>
      </c>
      <c r="C75" s="23" t="s">
        <v>706</v>
      </c>
      <c r="D75" s="20">
        <f t="shared" si="4"/>
        <v>4000</v>
      </c>
      <c r="E75" s="17">
        <v>74</v>
      </c>
      <c r="F75" s="24">
        <v>44107</v>
      </c>
      <c r="G75" s="23">
        <v>3</v>
      </c>
      <c r="H75" s="12">
        <v>0.375</v>
      </c>
      <c r="I75" s="8">
        <v>12.9</v>
      </c>
      <c r="J75" s="8">
        <v>25.8</v>
      </c>
      <c r="K75" s="9">
        <v>10.32</v>
      </c>
      <c r="L75" s="11">
        <f t="shared" si="3"/>
        <v>3.87</v>
      </c>
      <c r="M75" s="25"/>
      <c r="N75" s="25"/>
    </row>
    <row r="76" spans="1:14" s="27" customFormat="1" ht="15" x14ac:dyDescent="0.25">
      <c r="A76" s="23" t="s">
        <v>33</v>
      </c>
      <c r="B76" s="63" t="s">
        <v>679</v>
      </c>
      <c r="C76" s="63" t="s">
        <v>678</v>
      </c>
      <c r="D76" s="20">
        <f t="shared" si="4"/>
        <v>6305.4607508532408</v>
      </c>
      <c r="E76" s="17">
        <v>75</v>
      </c>
      <c r="F76" s="24">
        <v>44108</v>
      </c>
      <c r="G76" s="23">
        <v>4</v>
      </c>
      <c r="H76" s="7">
        <v>1</v>
      </c>
      <c r="I76" s="8">
        <v>5.86</v>
      </c>
      <c r="J76" s="8">
        <v>11.72</v>
      </c>
      <c r="K76" s="9">
        <v>7.39</v>
      </c>
      <c r="L76" s="11">
        <f t="shared" si="3"/>
        <v>7.39</v>
      </c>
      <c r="M76" s="85" t="s">
        <v>680</v>
      </c>
    </row>
    <row r="77" spans="1:14" x14ac:dyDescent="0.2">
      <c r="A77" s="23" t="s">
        <v>62</v>
      </c>
      <c r="B77" s="23" t="s">
        <v>135</v>
      </c>
      <c r="C77" s="23" t="s">
        <v>551</v>
      </c>
      <c r="D77" s="20">
        <f t="shared" si="4"/>
        <v>4551.811824539097</v>
      </c>
      <c r="E77" s="17">
        <v>76</v>
      </c>
      <c r="F77" s="24">
        <v>44109</v>
      </c>
      <c r="G77" s="23">
        <v>5</v>
      </c>
      <c r="H77" s="7">
        <v>0.51</v>
      </c>
      <c r="I77" s="8">
        <v>9.3000000000000007</v>
      </c>
      <c r="J77" s="8">
        <v>31.46</v>
      </c>
      <c r="K77" s="9">
        <v>14.32</v>
      </c>
      <c r="L77" s="11">
        <f t="shared" si="3"/>
        <v>7.3032000000000004</v>
      </c>
      <c r="M77" s="79" t="s">
        <v>663</v>
      </c>
      <c r="N77" s="67" t="s">
        <v>664</v>
      </c>
    </row>
    <row r="78" spans="1:14" x14ac:dyDescent="0.2">
      <c r="A78" s="23" t="s">
        <v>136</v>
      </c>
      <c r="B78" s="23" t="s">
        <v>137</v>
      </c>
      <c r="C78" s="23" t="s">
        <v>655</v>
      </c>
      <c r="D78" s="20">
        <f t="shared" si="4"/>
        <v>2413.7931034482758</v>
      </c>
      <c r="E78" s="17">
        <v>77</v>
      </c>
      <c r="F78" s="24">
        <v>44110</v>
      </c>
      <c r="G78" s="23">
        <v>6</v>
      </c>
      <c r="H78" s="7">
        <v>1</v>
      </c>
      <c r="I78" s="8">
        <v>2.9</v>
      </c>
      <c r="J78" s="8">
        <v>7.54</v>
      </c>
      <c r="K78" s="9">
        <v>1.82</v>
      </c>
      <c r="L78" s="11">
        <f t="shared" si="3"/>
        <v>1.82</v>
      </c>
      <c r="M78" s="79" t="s">
        <v>806</v>
      </c>
      <c r="N78" s="67" t="s">
        <v>805</v>
      </c>
    </row>
    <row r="79" spans="1:14" x14ac:dyDescent="0.2">
      <c r="A79" s="63" t="s">
        <v>618</v>
      </c>
      <c r="B79" s="23" t="s">
        <v>68</v>
      </c>
      <c r="C79" s="23" t="s">
        <v>617</v>
      </c>
      <c r="D79" s="20">
        <f t="shared" si="4"/>
        <v>9148.3516483516487</v>
      </c>
      <c r="E79" s="17">
        <v>78</v>
      </c>
      <c r="F79" s="24">
        <v>44111</v>
      </c>
      <c r="G79" s="23">
        <v>7</v>
      </c>
      <c r="H79" s="7">
        <v>1</v>
      </c>
      <c r="I79" s="8">
        <v>2.16</v>
      </c>
      <c r="J79" s="8">
        <v>3.64</v>
      </c>
      <c r="K79" s="9">
        <v>3.33</v>
      </c>
      <c r="L79" s="11">
        <f t="shared" si="3"/>
        <v>3.33</v>
      </c>
      <c r="M79" s="79" t="s">
        <v>619</v>
      </c>
      <c r="N79" s="25"/>
    </row>
    <row r="80" spans="1:14" x14ac:dyDescent="0.2">
      <c r="A80" s="23" t="s">
        <v>67</v>
      </c>
      <c r="B80" s="23" t="s">
        <v>68</v>
      </c>
      <c r="C80" s="23" t="s">
        <v>620</v>
      </c>
      <c r="D80" s="20">
        <f t="shared" si="4"/>
        <v>9556.1357702349869</v>
      </c>
      <c r="E80" s="17">
        <v>79</v>
      </c>
      <c r="F80" s="24">
        <v>44112</v>
      </c>
      <c r="G80" s="23">
        <v>8</v>
      </c>
      <c r="H80" s="7">
        <v>1</v>
      </c>
      <c r="I80" s="8">
        <v>2.4700000000000002</v>
      </c>
      <c r="J80" s="8">
        <v>3.83</v>
      </c>
      <c r="K80" s="9">
        <v>3.66</v>
      </c>
      <c r="L80" s="11">
        <f t="shared" si="3"/>
        <v>3.66</v>
      </c>
      <c r="M80" s="85" t="s">
        <v>621</v>
      </c>
      <c r="N80" s="25"/>
    </row>
    <row r="81" spans="1:14" x14ac:dyDescent="0.2">
      <c r="A81" s="23" t="s">
        <v>67</v>
      </c>
      <c r="B81" s="23" t="s">
        <v>68</v>
      </c>
      <c r="C81" s="23" t="s">
        <v>138</v>
      </c>
      <c r="D81" s="20">
        <f t="shared" si="4"/>
        <v>9433.3333333333339</v>
      </c>
      <c r="E81" s="17">
        <v>80</v>
      </c>
      <c r="F81" s="24">
        <v>44113</v>
      </c>
      <c r="G81" s="23">
        <v>9</v>
      </c>
      <c r="H81" s="7">
        <v>1</v>
      </c>
      <c r="I81" s="8">
        <v>1.91</v>
      </c>
      <c r="J81" s="8">
        <v>3</v>
      </c>
      <c r="K81" s="9">
        <v>2.83</v>
      </c>
      <c r="L81" s="11">
        <f t="shared" si="3"/>
        <v>2.83</v>
      </c>
      <c r="M81" s="85" t="s">
        <v>621</v>
      </c>
      <c r="N81" s="25"/>
    </row>
    <row r="82" spans="1:14" x14ac:dyDescent="0.2">
      <c r="A82" s="23" t="s">
        <v>47</v>
      </c>
      <c r="B82" s="23" t="s">
        <v>139</v>
      </c>
      <c r="C82" s="23" t="s">
        <v>713</v>
      </c>
      <c r="D82" s="20">
        <f t="shared" si="4"/>
        <v>19762.258543833581</v>
      </c>
      <c r="E82" s="17">
        <v>81</v>
      </c>
      <c r="F82" s="28">
        <v>44136</v>
      </c>
      <c r="G82" s="23">
        <v>1</v>
      </c>
      <c r="H82" s="7">
        <v>0.34</v>
      </c>
      <c r="I82" s="8">
        <v>3.36</v>
      </c>
      <c r="J82" s="8">
        <v>6.73</v>
      </c>
      <c r="K82" s="9">
        <v>13.3</v>
      </c>
      <c r="L82" s="11">
        <f t="shared" si="3"/>
        <v>4.5220000000000002</v>
      </c>
      <c r="M82" s="79" t="s">
        <v>716</v>
      </c>
      <c r="N82" s="67" t="s">
        <v>714</v>
      </c>
    </row>
    <row r="83" spans="1:14" x14ac:dyDescent="0.2">
      <c r="A83" s="23" t="s">
        <v>38</v>
      </c>
      <c r="B83" s="23" t="s">
        <v>140</v>
      </c>
      <c r="C83" s="23" t="s">
        <v>792</v>
      </c>
      <c r="D83" s="20">
        <f>K83/J83*10000</f>
        <v>11174.08906882591</v>
      </c>
      <c r="E83" s="17">
        <v>82</v>
      </c>
      <c r="F83" s="28">
        <v>44137</v>
      </c>
      <c r="G83" s="23">
        <v>2</v>
      </c>
      <c r="H83" s="7">
        <v>1</v>
      </c>
      <c r="I83" s="8">
        <v>4.12</v>
      </c>
      <c r="J83" s="8">
        <v>7.41</v>
      </c>
      <c r="K83" s="9">
        <v>8.2799999999999994</v>
      </c>
      <c r="L83" s="11">
        <f t="shared" si="3"/>
        <v>8.2799999999999994</v>
      </c>
      <c r="M83" s="85" t="s">
        <v>794</v>
      </c>
      <c r="N83" s="25"/>
    </row>
    <row r="84" spans="1:14" x14ac:dyDescent="0.2">
      <c r="A84" s="23" t="s">
        <v>38</v>
      </c>
      <c r="B84" s="23" t="s">
        <v>50</v>
      </c>
      <c r="C84" s="23" t="s">
        <v>793</v>
      </c>
      <c r="D84" s="20">
        <f t="shared" si="4"/>
        <v>8850.8064516129034</v>
      </c>
      <c r="E84" s="17">
        <v>83</v>
      </c>
      <c r="F84" s="28">
        <v>44138</v>
      </c>
      <c r="G84" s="23">
        <v>3</v>
      </c>
      <c r="H84" s="7">
        <v>0.55000000000000004</v>
      </c>
      <c r="I84" s="8">
        <v>2.85</v>
      </c>
      <c r="J84" s="8">
        <v>4.96</v>
      </c>
      <c r="K84" s="9">
        <v>4.3899999999999997</v>
      </c>
      <c r="L84" s="11">
        <f t="shared" si="3"/>
        <v>2.4144999999999999</v>
      </c>
      <c r="M84" s="85" t="s">
        <v>795</v>
      </c>
      <c r="N84" s="25"/>
    </row>
    <row r="85" spans="1:14" x14ac:dyDescent="0.2">
      <c r="A85" s="23" t="s">
        <v>121</v>
      </c>
      <c r="B85" s="23" t="s">
        <v>122</v>
      </c>
      <c r="C85" s="23" t="s">
        <v>740</v>
      </c>
      <c r="D85" s="20">
        <f t="shared" si="4"/>
        <v>5923.482849604221</v>
      </c>
      <c r="E85" s="17">
        <v>84</v>
      </c>
      <c r="F85" s="28">
        <v>44139</v>
      </c>
      <c r="G85" s="23">
        <v>4</v>
      </c>
      <c r="H85" s="7">
        <v>0.56000000000000005</v>
      </c>
      <c r="I85" s="8">
        <v>3.16</v>
      </c>
      <c r="J85" s="8">
        <v>7.58</v>
      </c>
      <c r="K85" s="9">
        <v>4.49</v>
      </c>
      <c r="L85" s="11">
        <f t="shared" si="3"/>
        <v>2.5144000000000002</v>
      </c>
      <c r="M85" s="85" t="s">
        <v>742</v>
      </c>
      <c r="N85" s="67" t="s">
        <v>741</v>
      </c>
    </row>
    <row r="86" spans="1:14" x14ac:dyDescent="0.2">
      <c r="A86" s="23" t="s">
        <v>121</v>
      </c>
      <c r="B86" s="23" t="s">
        <v>122</v>
      </c>
      <c r="C86" s="23" t="s">
        <v>743</v>
      </c>
      <c r="D86" s="20">
        <f t="shared" si="4"/>
        <v>5041.3223140495866</v>
      </c>
      <c r="E86" s="17">
        <v>85</v>
      </c>
      <c r="F86" s="28">
        <v>44140</v>
      </c>
      <c r="G86" s="23">
        <v>5</v>
      </c>
      <c r="H86" s="7">
        <v>0.56000000000000005</v>
      </c>
      <c r="I86" s="8">
        <v>3.03</v>
      </c>
      <c r="J86" s="8">
        <v>6.05</v>
      </c>
      <c r="K86" s="9">
        <v>3.05</v>
      </c>
      <c r="L86" s="11">
        <f t="shared" si="3"/>
        <v>1.708</v>
      </c>
      <c r="M86" s="79" t="s">
        <v>744</v>
      </c>
      <c r="N86" s="25"/>
    </row>
    <row r="87" spans="1:14" x14ac:dyDescent="0.2">
      <c r="A87" s="23" t="s">
        <v>123</v>
      </c>
      <c r="B87" s="23" t="s">
        <v>124</v>
      </c>
      <c r="C87" s="23" t="s">
        <v>753</v>
      </c>
      <c r="D87" s="20">
        <f t="shared" si="4"/>
        <v>8804.0712468193378</v>
      </c>
      <c r="E87" s="17">
        <v>86</v>
      </c>
      <c r="F87" s="28">
        <v>44141</v>
      </c>
      <c r="G87" s="23">
        <v>6</v>
      </c>
      <c r="H87" s="7">
        <v>0.55000000000000004</v>
      </c>
      <c r="I87" s="8">
        <v>8.11</v>
      </c>
      <c r="J87" s="8">
        <v>15.72</v>
      </c>
      <c r="K87" s="9">
        <v>13.84</v>
      </c>
      <c r="L87" s="11">
        <f t="shared" si="3"/>
        <v>7.6120000000000001</v>
      </c>
      <c r="M87" s="79" t="s">
        <v>754</v>
      </c>
      <c r="N87" s="25"/>
    </row>
    <row r="88" spans="1:14" x14ac:dyDescent="0.2">
      <c r="A88" s="23" t="s">
        <v>141</v>
      </c>
      <c r="B88" s="23" t="s">
        <v>142</v>
      </c>
      <c r="C88" s="23" t="s">
        <v>758</v>
      </c>
      <c r="D88" s="20">
        <f t="shared" si="4"/>
        <v>8530.8641975308656</v>
      </c>
      <c r="E88" s="17">
        <v>87</v>
      </c>
      <c r="F88" s="28">
        <v>44142</v>
      </c>
      <c r="G88" s="23">
        <v>7</v>
      </c>
      <c r="H88" s="7">
        <v>0.5</v>
      </c>
      <c r="I88" s="8">
        <v>5.4</v>
      </c>
      <c r="J88" s="8">
        <v>8.1</v>
      </c>
      <c r="K88" s="9">
        <v>6.91</v>
      </c>
      <c r="L88" s="11">
        <f t="shared" si="3"/>
        <v>3.4550000000000001</v>
      </c>
      <c r="M88" s="79" t="s">
        <v>759</v>
      </c>
      <c r="N88" s="67" t="s">
        <v>764</v>
      </c>
    </row>
    <row r="89" spans="1:14" ht="28.5" x14ac:dyDescent="0.2">
      <c r="A89" s="23" t="s">
        <v>143</v>
      </c>
      <c r="B89" s="23" t="s">
        <v>144</v>
      </c>
      <c r="C89" s="23" t="s">
        <v>552</v>
      </c>
      <c r="D89" s="20">
        <f t="shared" si="4"/>
        <v>1460.4810996563572</v>
      </c>
      <c r="E89" s="17">
        <v>88</v>
      </c>
      <c r="F89" s="28">
        <v>44143</v>
      </c>
      <c r="G89" s="23">
        <v>8</v>
      </c>
      <c r="H89" s="7">
        <v>0.39</v>
      </c>
      <c r="I89" s="8">
        <v>7.76</v>
      </c>
      <c r="J89" s="8">
        <v>11.64</v>
      </c>
      <c r="K89" s="9">
        <v>1.7</v>
      </c>
      <c r="L89" s="11">
        <f t="shared" si="3"/>
        <v>0.66300000000000003</v>
      </c>
      <c r="M89" s="25"/>
      <c r="N89" s="25"/>
    </row>
    <row r="90" spans="1:14" x14ac:dyDescent="0.2">
      <c r="A90" s="23" t="s">
        <v>69</v>
      </c>
      <c r="B90" s="23" t="s">
        <v>70</v>
      </c>
      <c r="C90" s="23" t="s">
        <v>145</v>
      </c>
      <c r="D90" s="20">
        <f t="shared" si="4"/>
        <v>10164.051355206846</v>
      </c>
      <c r="E90" s="17">
        <v>89</v>
      </c>
      <c r="F90" s="28">
        <v>44144</v>
      </c>
      <c r="G90" s="23">
        <v>9</v>
      </c>
      <c r="H90" s="7">
        <v>1</v>
      </c>
      <c r="I90" s="8">
        <v>5.61</v>
      </c>
      <c r="J90" s="8">
        <v>14.02</v>
      </c>
      <c r="K90" s="9">
        <v>14.25</v>
      </c>
      <c r="L90" s="11">
        <f t="shared" si="3"/>
        <v>14.25</v>
      </c>
      <c r="M90" s="85" t="s">
        <v>673</v>
      </c>
      <c r="N90" s="67" t="s">
        <v>674</v>
      </c>
    </row>
    <row r="91" spans="1:14" x14ac:dyDescent="0.2">
      <c r="A91" s="23" t="s">
        <v>98</v>
      </c>
      <c r="B91" s="23" t="s">
        <v>99</v>
      </c>
      <c r="C91" s="23" t="s">
        <v>598</v>
      </c>
      <c r="D91" s="20">
        <f t="shared" si="4"/>
        <v>3428.2126412724988</v>
      </c>
      <c r="E91" s="17">
        <v>90</v>
      </c>
      <c r="F91" s="28">
        <v>44145</v>
      </c>
      <c r="G91" s="23">
        <v>10</v>
      </c>
      <c r="H91" s="7">
        <v>0.20399999999999999</v>
      </c>
      <c r="I91" s="8">
        <v>6.5</v>
      </c>
      <c r="J91" s="8">
        <v>23.89</v>
      </c>
      <c r="K91" s="9">
        <v>8.19</v>
      </c>
      <c r="L91" s="11">
        <f t="shared" si="3"/>
        <v>1.6707599999999998</v>
      </c>
      <c r="M91" s="79" t="s">
        <v>807</v>
      </c>
      <c r="N91" s="25"/>
    </row>
    <row r="92" spans="1:14" x14ac:dyDescent="0.2">
      <c r="A92" t="s">
        <v>389</v>
      </c>
      <c r="B92" t="s">
        <v>570</v>
      </c>
      <c r="C92" t="s">
        <v>799</v>
      </c>
      <c r="D92" s="20">
        <f t="shared" ref="D92:D108" si="5">K92/J92*10000</f>
        <v>3069.9088145896658</v>
      </c>
      <c r="E92" s="17">
        <v>91</v>
      </c>
      <c r="F92" s="28">
        <v>44166</v>
      </c>
      <c r="G92">
        <v>1</v>
      </c>
      <c r="H92" s="72">
        <v>0.34</v>
      </c>
      <c r="I92">
        <v>3.95</v>
      </c>
      <c r="J92">
        <v>9.8699999999999992</v>
      </c>
      <c r="K92">
        <v>3.03</v>
      </c>
      <c r="L92" s="71">
        <f t="shared" si="3"/>
        <v>1.0302</v>
      </c>
      <c r="M92" s="66" t="s">
        <v>800</v>
      </c>
    </row>
    <row r="93" spans="1:14" x14ac:dyDescent="0.2">
      <c r="A93" t="s">
        <v>389</v>
      </c>
      <c r="B93" t="s">
        <v>570</v>
      </c>
      <c r="C93" t="s">
        <v>798</v>
      </c>
      <c r="D93" s="20">
        <f t="shared" si="5"/>
        <v>4717.2182656053619</v>
      </c>
      <c r="E93" s="17">
        <v>92</v>
      </c>
      <c r="F93" s="28">
        <v>44167</v>
      </c>
      <c r="G93">
        <v>2</v>
      </c>
      <c r="H93" s="72">
        <v>0.6</v>
      </c>
      <c r="I93">
        <v>7.96</v>
      </c>
      <c r="J93">
        <v>23.87</v>
      </c>
      <c r="K93">
        <v>11.26</v>
      </c>
      <c r="L93" s="71">
        <f t="shared" si="3"/>
        <v>6.7559999999999993</v>
      </c>
      <c r="M93" s="66" t="s">
        <v>801</v>
      </c>
    </row>
    <row r="94" spans="1:14" x14ac:dyDescent="0.2">
      <c r="A94" t="s">
        <v>350</v>
      </c>
      <c r="B94" t="s">
        <v>571</v>
      </c>
      <c r="C94" t="s">
        <v>796</v>
      </c>
      <c r="D94" s="20">
        <f t="shared" si="5"/>
        <v>11937.17277486911</v>
      </c>
      <c r="E94" s="17">
        <v>93</v>
      </c>
      <c r="F94" s="28">
        <v>44168</v>
      </c>
      <c r="G94">
        <v>3</v>
      </c>
      <c r="H94" s="72">
        <v>0.4</v>
      </c>
      <c r="I94">
        <v>4.24</v>
      </c>
      <c r="J94">
        <v>7.64</v>
      </c>
      <c r="K94">
        <v>9.1199999999999992</v>
      </c>
      <c r="L94" s="71">
        <f t="shared" si="3"/>
        <v>3.6479999999999997</v>
      </c>
      <c r="M94" s="66" t="s">
        <v>797</v>
      </c>
    </row>
    <row r="95" spans="1:14" x14ac:dyDescent="0.2">
      <c r="A95" t="s">
        <v>572</v>
      </c>
      <c r="B95" t="s">
        <v>573</v>
      </c>
      <c r="C95" t="s">
        <v>688</v>
      </c>
      <c r="D95" s="20">
        <f t="shared" si="5"/>
        <v>7419.8473282442756</v>
      </c>
      <c r="E95" s="17">
        <v>94</v>
      </c>
      <c r="F95" s="28">
        <v>44169</v>
      </c>
      <c r="G95">
        <v>4</v>
      </c>
      <c r="H95" s="72">
        <v>0.51</v>
      </c>
      <c r="I95">
        <v>7.28</v>
      </c>
      <c r="J95">
        <v>13.1</v>
      </c>
      <c r="K95">
        <v>9.7200000000000006</v>
      </c>
      <c r="L95" s="71">
        <f t="shared" si="3"/>
        <v>4.9572000000000003</v>
      </c>
      <c r="M95" s="86" t="s">
        <v>689</v>
      </c>
    </row>
    <row r="96" spans="1:14" x14ac:dyDescent="0.2">
      <c r="A96" t="s">
        <v>574</v>
      </c>
      <c r="B96" t="s">
        <v>575</v>
      </c>
      <c r="C96" t="s">
        <v>704</v>
      </c>
      <c r="D96" s="20">
        <f t="shared" si="5"/>
        <v>5494.6727549467269</v>
      </c>
      <c r="E96" s="17">
        <v>95</v>
      </c>
      <c r="F96" s="28">
        <v>44170</v>
      </c>
      <c r="G96">
        <v>5</v>
      </c>
      <c r="H96" s="72">
        <v>0.5</v>
      </c>
      <c r="I96">
        <v>3.65</v>
      </c>
      <c r="J96">
        <v>6.57</v>
      </c>
      <c r="K96">
        <v>3.61</v>
      </c>
      <c r="L96" s="71">
        <f t="shared" si="3"/>
        <v>1.8049999999999999</v>
      </c>
      <c r="M96" s="66" t="s">
        <v>705</v>
      </c>
    </row>
    <row r="97" spans="1:14" x14ac:dyDescent="0.2">
      <c r="A97" t="s">
        <v>381</v>
      </c>
      <c r="B97" t="s">
        <v>576</v>
      </c>
      <c r="C97" t="s">
        <v>661</v>
      </c>
      <c r="D97" s="20">
        <f t="shared" si="5"/>
        <v>4386.503067484663</v>
      </c>
      <c r="E97" s="17">
        <v>96</v>
      </c>
      <c r="F97" s="28">
        <v>44171</v>
      </c>
      <c r="G97">
        <v>6</v>
      </c>
      <c r="H97" s="72">
        <v>1</v>
      </c>
      <c r="I97">
        <v>3.91</v>
      </c>
      <c r="J97">
        <v>9.7799999999999994</v>
      </c>
      <c r="K97">
        <v>4.29</v>
      </c>
      <c r="L97" s="71">
        <f t="shared" si="3"/>
        <v>4.29</v>
      </c>
      <c r="M97" s="86" t="s">
        <v>662</v>
      </c>
      <c r="N97" s="68" t="s">
        <v>665</v>
      </c>
    </row>
    <row r="98" spans="1:14" x14ac:dyDescent="0.2">
      <c r="A98" t="s">
        <v>577</v>
      </c>
      <c r="B98" t="s">
        <v>648</v>
      </c>
      <c r="C98" t="s">
        <v>647</v>
      </c>
      <c r="D98" s="20">
        <f t="shared" si="5"/>
        <v>305.5020020762272</v>
      </c>
      <c r="E98" s="17">
        <v>97</v>
      </c>
      <c r="F98" s="28">
        <v>44172</v>
      </c>
      <c r="G98">
        <v>7</v>
      </c>
      <c r="H98" s="72">
        <v>0.3</v>
      </c>
      <c r="I98">
        <v>44.14</v>
      </c>
      <c r="J98">
        <v>67.430000000000007</v>
      </c>
      <c r="K98">
        <v>2.06</v>
      </c>
      <c r="L98" s="71">
        <f t="shared" si="3"/>
        <v>0.61799999999999999</v>
      </c>
      <c r="M98" s="66" t="s">
        <v>650</v>
      </c>
    </row>
    <row r="99" spans="1:14" s="78" customFormat="1" x14ac:dyDescent="0.2">
      <c r="A99" s="69" t="s">
        <v>396</v>
      </c>
      <c r="B99" s="69" t="s">
        <v>578</v>
      </c>
      <c r="C99" s="69" t="s">
        <v>592</v>
      </c>
      <c r="D99" s="73">
        <f t="shared" si="5"/>
        <v>6177.4891774891776</v>
      </c>
      <c r="E99" s="74">
        <v>98</v>
      </c>
      <c r="F99" s="75">
        <v>44173</v>
      </c>
      <c r="G99" s="69">
        <v>8</v>
      </c>
      <c r="H99" s="76">
        <v>0.6</v>
      </c>
      <c r="I99" s="69">
        <v>6.49</v>
      </c>
      <c r="J99" s="69">
        <v>23.1</v>
      </c>
      <c r="K99" s="69">
        <v>14.27</v>
      </c>
      <c r="L99" s="77">
        <f t="shared" si="3"/>
        <v>8.5619999999999994</v>
      </c>
      <c r="M99" s="88" t="s">
        <v>802</v>
      </c>
      <c r="N99" s="74"/>
    </row>
    <row r="100" spans="1:14" x14ac:dyDescent="0.2">
      <c r="A100" t="s">
        <v>396</v>
      </c>
      <c r="B100" t="s">
        <v>579</v>
      </c>
      <c r="C100" t="s">
        <v>594</v>
      </c>
      <c r="D100" s="20">
        <f t="shared" si="5"/>
        <v>6250</v>
      </c>
      <c r="E100" s="17">
        <v>99</v>
      </c>
      <c r="F100" s="28">
        <v>44174</v>
      </c>
      <c r="G100">
        <v>9</v>
      </c>
      <c r="H100" s="72">
        <v>0.51</v>
      </c>
      <c r="I100">
        <v>0.06</v>
      </c>
      <c r="J100">
        <v>0.24</v>
      </c>
      <c r="K100">
        <v>0.15</v>
      </c>
      <c r="L100" s="71">
        <f t="shared" si="3"/>
        <v>7.6499999999999999E-2</v>
      </c>
      <c r="M100" s="86" t="s">
        <v>808</v>
      </c>
    </row>
    <row r="101" spans="1:14" x14ac:dyDescent="0.2">
      <c r="A101" t="s">
        <v>812</v>
      </c>
      <c r="B101" t="s">
        <v>810</v>
      </c>
      <c r="C101" t="s">
        <v>809</v>
      </c>
      <c r="D101" s="20">
        <f t="shared" si="5"/>
        <v>513.59516616314204</v>
      </c>
      <c r="E101" s="17">
        <v>100</v>
      </c>
      <c r="F101" s="28">
        <v>44175</v>
      </c>
      <c r="G101">
        <v>10</v>
      </c>
      <c r="H101" s="72">
        <v>0.7</v>
      </c>
      <c r="I101">
        <v>6.02</v>
      </c>
      <c r="J101">
        <v>3.31</v>
      </c>
      <c r="K101">
        <v>0.17</v>
      </c>
      <c r="L101" s="71">
        <f t="shared" si="3"/>
        <v>0.11899999999999999</v>
      </c>
    </row>
    <row r="102" spans="1:14" x14ac:dyDescent="0.2">
      <c r="A102" t="s">
        <v>580</v>
      </c>
      <c r="B102" t="s">
        <v>581</v>
      </c>
      <c r="C102" t="s">
        <v>811</v>
      </c>
      <c r="D102" s="20">
        <f t="shared" si="5"/>
        <v>608.69565217391312</v>
      </c>
      <c r="E102" s="17">
        <v>101</v>
      </c>
      <c r="F102" s="28">
        <v>44176</v>
      </c>
      <c r="G102">
        <v>11</v>
      </c>
      <c r="H102" s="72">
        <v>0.7</v>
      </c>
      <c r="I102">
        <v>4.5999999999999996</v>
      </c>
      <c r="J102">
        <v>4.5999999999999996</v>
      </c>
      <c r="K102">
        <v>0.28000000000000003</v>
      </c>
      <c r="L102" s="71">
        <f t="shared" si="3"/>
        <v>0.19600000000000001</v>
      </c>
    </row>
    <row r="103" spans="1:14" x14ac:dyDescent="0.2">
      <c r="A103" t="s">
        <v>591</v>
      </c>
      <c r="B103" t="s">
        <v>582</v>
      </c>
      <c r="C103" t="s">
        <v>637</v>
      </c>
      <c r="D103" s="20">
        <f t="shared" si="5"/>
        <v>900.79365079365084</v>
      </c>
      <c r="E103" s="17">
        <v>102</v>
      </c>
      <c r="F103" s="28">
        <v>44177</v>
      </c>
      <c r="G103">
        <v>12</v>
      </c>
      <c r="H103" s="72">
        <v>0.25</v>
      </c>
      <c r="I103">
        <v>12.6</v>
      </c>
      <c r="J103">
        <v>25.2</v>
      </c>
      <c r="K103">
        <v>2.27</v>
      </c>
      <c r="L103" s="71">
        <f t="shared" si="3"/>
        <v>0.5675</v>
      </c>
    </row>
    <row r="104" spans="1:14" x14ac:dyDescent="0.2">
      <c r="A104" t="s">
        <v>416</v>
      </c>
      <c r="B104" t="s">
        <v>583</v>
      </c>
      <c r="C104" t="s">
        <v>629</v>
      </c>
      <c r="D104" s="20">
        <f t="shared" si="5"/>
        <v>4091.279543602282</v>
      </c>
      <c r="E104" s="17">
        <v>103</v>
      </c>
      <c r="F104" s="28">
        <v>44178</v>
      </c>
      <c r="G104">
        <v>13</v>
      </c>
      <c r="H104" s="72">
        <v>0.75</v>
      </c>
      <c r="I104">
        <v>4.91</v>
      </c>
      <c r="J104">
        <v>12.27</v>
      </c>
      <c r="K104">
        <v>5.0199999999999996</v>
      </c>
      <c r="L104" s="71">
        <f t="shared" si="3"/>
        <v>3.7649999999999997</v>
      </c>
      <c r="M104" s="86" t="s">
        <v>630</v>
      </c>
    </row>
    <row r="105" spans="1:14" x14ac:dyDescent="0.2">
      <c r="A105" t="s">
        <v>584</v>
      </c>
      <c r="B105" t="s">
        <v>604</v>
      </c>
      <c r="C105" t="s">
        <v>603</v>
      </c>
      <c r="D105" s="20">
        <f>K105/J105*10000</f>
        <v>5997.5816203143895</v>
      </c>
      <c r="E105" s="17">
        <v>104</v>
      </c>
      <c r="F105" s="28">
        <v>44179</v>
      </c>
      <c r="G105">
        <v>14</v>
      </c>
      <c r="H105" s="72">
        <v>0.75</v>
      </c>
      <c r="I105">
        <v>3.31</v>
      </c>
      <c r="J105">
        <v>8.27</v>
      </c>
      <c r="K105">
        <v>4.96</v>
      </c>
      <c r="L105" s="71">
        <f t="shared" si="3"/>
        <v>3.7199999999999998</v>
      </c>
      <c r="M105" s="86" t="s">
        <v>631</v>
      </c>
    </row>
    <row r="106" spans="1:14" x14ac:dyDescent="0.2">
      <c r="A106" t="s">
        <v>585</v>
      </c>
      <c r="B106" t="s">
        <v>586</v>
      </c>
      <c r="C106" t="s">
        <v>622</v>
      </c>
      <c r="D106" s="20">
        <f t="shared" si="5"/>
        <v>6026.2008733624452</v>
      </c>
      <c r="E106" s="17">
        <v>105</v>
      </c>
      <c r="F106" s="28">
        <v>44180</v>
      </c>
      <c r="G106">
        <v>15</v>
      </c>
      <c r="H106" s="72">
        <v>1</v>
      </c>
      <c r="I106">
        <v>2.08</v>
      </c>
      <c r="J106">
        <v>6.87</v>
      </c>
      <c r="K106">
        <v>4.1399999999999997</v>
      </c>
      <c r="L106" s="71">
        <f t="shared" si="3"/>
        <v>4.1399999999999997</v>
      </c>
      <c r="M106" s="66" t="s">
        <v>803</v>
      </c>
    </row>
    <row r="107" spans="1:14" x14ac:dyDescent="0.2">
      <c r="A107" s="69" t="s">
        <v>587</v>
      </c>
      <c r="B107" s="69" t="s">
        <v>588</v>
      </c>
      <c r="C107" s="69" t="s">
        <v>599</v>
      </c>
      <c r="D107" s="73">
        <f t="shared" si="5"/>
        <v>5027.4314214463848</v>
      </c>
      <c r="E107" s="74">
        <v>106</v>
      </c>
      <c r="F107" s="75">
        <v>44181</v>
      </c>
      <c r="G107" s="69">
        <v>16</v>
      </c>
      <c r="H107" s="76">
        <v>0.51</v>
      </c>
      <c r="I107" s="69">
        <v>5.01</v>
      </c>
      <c r="J107" s="69">
        <v>20.05</v>
      </c>
      <c r="K107" s="69">
        <v>10.08</v>
      </c>
      <c r="L107" s="77">
        <f t="shared" si="3"/>
        <v>5.1408000000000005</v>
      </c>
      <c r="M107" s="66" t="s">
        <v>602</v>
      </c>
    </row>
    <row r="108" spans="1:14" x14ac:dyDescent="0.2">
      <c r="A108" t="s">
        <v>587</v>
      </c>
      <c r="B108" t="s">
        <v>588</v>
      </c>
      <c r="C108" t="s">
        <v>600</v>
      </c>
      <c r="D108" s="20">
        <f t="shared" si="5"/>
        <v>1448.6486486486488</v>
      </c>
      <c r="E108" s="17">
        <v>107</v>
      </c>
      <c r="F108" s="28">
        <v>44182</v>
      </c>
      <c r="G108">
        <v>17</v>
      </c>
      <c r="H108" s="72">
        <v>0.7</v>
      </c>
      <c r="I108">
        <v>7.97</v>
      </c>
      <c r="J108">
        <v>18.5</v>
      </c>
      <c r="K108">
        <v>2.68</v>
      </c>
      <c r="L108" s="71">
        <f t="shared" si="3"/>
        <v>1.8759999999999999</v>
      </c>
      <c r="M108" s="66" t="s">
        <v>601</v>
      </c>
    </row>
  </sheetData>
  <autoFilter ref="A1:N108" xr:uid="{8A73790E-7EAD-4E13-860A-EEEFD17ECBC6}"/>
  <phoneticPr fontId="5" type="noConversion"/>
  <hyperlinks>
    <hyperlink ref="N42" r:id="rId1" xr:uid="{37531344-5F44-4097-BD74-A71FE161745B}"/>
    <hyperlink ref="N3" r:id="rId2" xr:uid="{87A5E9D7-3D13-442A-9604-A84F8964ECD8}"/>
    <hyperlink ref="N44" r:id="rId3" xr:uid="{D22F6D82-1F63-4291-96C9-B2230556FE77}"/>
    <hyperlink ref="N5" r:id="rId4" xr:uid="{E535A82C-1B74-42DD-B472-669E414E29F2}"/>
    <hyperlink ref="N14" r:id="rId5" xr:uid="{C54E105A-A00F-4948-BBBA-991A3D9E17F0}"/>
    <hyperlink ref="N19" r:id="rId6" xr:uid="{63290627-B36E-4A13-8D67-33673EEE822F}"/>
    <hyperlink ref="N39" r:id="rId7" xr:uid="{95CEB536-2CA0-443E-8D24-BF9E906912A7}"/>
    <hyperlink ref="N25" r:id="rId8" xr:uid="{DC4C6083-6FCD-4882-B78C-C0911701E882}"/>
    <hyperlink ref="N45" r:id="rId9" xr:uid="{19C5F156-0B71-4883-8869-4F2313540BF9}"/>
    <hyperlink ref="N46" r:id="rId10" xr:uid="{CB508AA6-CDBE-46F6-896B-C20AAE2BBAA6}"/>
    <hyperlink ref="N59" r:id="rId11" xr:uid="{17F3AC38-8F96-4279-A63F-3999B14C7287}"/>
    <hyperlink ref="N60" r:id="rId12" xr:uid="{F054A3B5-07F8-412D-8B87-787D2839BCBF}"/>
    <hyperlink ref="N33" r:id="rId13" xr:uid="{80F9EA1B-97F2-40CD-BE84-2D9297EC1479}"/>
    <hyperlink ref="N22" r:id="rId14" xr:uid="{0BA10BCE-CA42-4D23-8E66-1D68A5B6759F}"/>
    <hyperlink ref="N34" r:id="rId15" xr:uid="{75C8A4DE-A673-411F-9D4B-749C86368CC4}"/>
    <hyperlink ref="N47" r:id="rId16" xr:uid="{81C02D4D-C8B0-42DA-8494-6A9BF3F8FA8B}"/>
    <hyperlink ref="N23" r:id="rId17" xr:uid="{C99BB523-7A52-4903-8357-092BA50A8837}"/>
    <hyperlink ref="N77" r:id="rId18" xr:uid="{126FB16C-F0CB-44B8-8DC7-3ADB2605DBDC}"/>
    <hyperlink ref="N97" r:id="rId19" xr:uid="{27BF3DCF-483C-4D94-8D71-0EDB6E7D8EDD}"/>
    <hyperlink ref="N57" r:id="rId20" xr:uid="{CD08D1AF-9759-4716-8502-737E5431E5D4}"/>
    <hyperlink ref="N26" r:id="rId21" xr:uid="{24961BC3-E0AC-454E-9CE4-04D5E0154D9B}"/>
    <hyperlink ref="N40" r:id="rId22" xr:uid="{DF2BA75E-DE1C-4D3A-93C7-E15CC799D547}"/>
    <hyperlink ref="N90" r:id="rId23" xr:uid="{5928E003-4FF2-4B02-BD93-3BDEAFF1391A}"/>
    <hyperlink ref="N7" r:id="rId24" xr:uid="{D5749544-F903-4E2D-A6DB-BB5732AFA5E1}"/>
    <hyperlink ref="N6" r:id="rId25" xr:uid="{BA565280-7829-4CE0-9DFF-D12C4E57B8F7}"/>
    <hyperlink ref="N54" r:id="rId26" xr:uid="{226FC14A-D211-40A7-AD76-11C2A93B595B}"/>
    <hyperlink ref="N68" r:id="rId27" xr:uid="{302EE459-8344-430A-BA65-DA5C8CFD0896}"/>
    <hyperlink ref="N27" r:id="rId28" xr:uid="{AF39BE87-33C1-4275-AFB1-29B7C4C6879C}"/>
    <hyperlink ref="N20" r:id="rId29" xr:uid="{8F926B93-2AF7-44AF-B791-DFD8B23EAFB4}"/>
    <hyperlink ref="N21" r:id="rId30" xr:uid="{BB78B8E7-1B24-4AFC-93E3-1A35794C6044}"/>
    <hyperlink ref="N16" r:id="rId31" xr:uid="{2F4AFCC6-AA46-4BC8-9EC7-5F6A1D9717F0}"/>
    <hyperlink ref="N82" r:id="rId32" xr:uid="{A0721B1E-4568-43F6-B23C-419E795437D9}"/>
    <hyperlink ref="N70" r:id="rId33" xr:uid="{1A94D2CC-DEB9-4F34-9B6C-BF3267A8F167}"/>
    <hyperlink ref="N13" r:id="rId34" xr:uid="{6FE628DC-759F-4DB4-98E0-61657123FC0B}"/>
    <hyperlink ref="N61" r:id="rId35" xr:uid="{300B98A4-EFEA-4D0A-BF62-757B3BF0014D}"/>
    <hyperlink ref="N18" r:id="rId36" xr:uid="{71D9BF2D-2896-454A-BB44-B05BF5EA230D}"/>
    <hyperlink ref="N35" r:id="rId37" xr:uid="{19C4CCB2-D91D-4E39-BE11-DBB4CCB03641}"/>
    <hyperlink ref="N2" r:id="rId38" xr:uid="{92806E6C-E14F-4A52-8ECB-2AAD49E3A306}"/>
    <hyperlink ref="N64" r:id="rId39" xr:uid="{6616F84A-F7A2-4C04-A976-EE6A36D50F6A}"/>
    <hyperlink ref="N85" r:id="rId40" xr:uid="{CF95A3EF-6F49-4A25-B5B4-E49D8B5DF668}"/>
    <hyperlink ref="N53" r:id="rId41" xr:uid="{42CD62DF-98D5-45FB-AB39-05566C89A92E}"/>
    <hyperlink ref="N65" r:id="rId42" xr:uid="{38BCA03B-3D1D-41FF-9DDC-8718D953A683}"/>
    <hyperlink ref="N49" r:id="rId43" xr:uid="{3101BD21-F30C-4AEA-87C4-BDAF28740298}"/>
    <hyperlink ref="N88" r:id="rId44" xr:uid="{1E62146C-5CA3-42B1-AF2E-7FF3CD2E55EC}"/>
    <hyperlink ref="N9" r:id="rId45" xr:uid="{91310F60-C267-48A4-B410-77D4D200DEE5}"/>
    <hyperlink ref="N10" r:id="rId46" xr:uid="{6609040C-1C22-4BD1-9FE0-096FCF8F4AAD}"/>
    <hyperlink ref="N4" r:id="rId47" xr:uid="{D8BC4A2D-D26B-4321-B10C-6F60F37AF99D}"/>
    <hyperlink ref="N12" r:id="rId48" xr:uid="{570BC0F0-450A-490E-AC08-73B4C6866C92}"/>
    <hyperlink ref="N17" r:id="rId49" xr:uid="{D8343872-6E80-43AB-9354-1A2246E678A7}"/>
    <hyperlink ref="N41" r:id="rId50" xr:uid="{EE0D95B5-1DC8-49C1-9056-6A6CF9D38AB4}"/>
    <hyperlink ref="N51" r:id="rId51" xr:uid="{87E82347-5DA5-4FC0-A944-49A3F405E0C4}"/>
    <hyperlink ref="N56" r:id="rId52" xr:uid="{4E598514-F4A8-4EBE-92CC-2B3C76A17DD1}"/>
    <hyperlink ref="N52" r:id="rId53" xr:uid="{13CAD436-9D86-42BD-93BA-32F311889676}"/>
    <hyperlink ref="N78" r:id="rId54" xr:uid="{7258EA86-FAA6-4DCF-BDDC-806CCEEBEA7E}"/>
  </hyperlinks>
  <pageMargins left="0.7" right="0.7" top="0.75" bottom="0.75" header="0.3" footer="0.3"/>
  <pageSetup paperSize="9" orientation="portrait" r:id="rId5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E109-38C7-40E3-A110-347C83031311}">
  <dimension ref="A1:P99"/>
  <sheetViews>
    <sheetView workbookViewId="0">
      <pane ySplit="1" topLeftCell="A2" activePane="bottomLeft" state="frozen"/>
      <selection pane="bottomLeft" activeCell="C24" sqref="C24"/>
    </sheetView>
  </sheetViews>
  <sheetFormatPr defaultRowHeight="14.25" x14ac:dyDescent="0.2"/>
  <cols>
    <col min="1" max="1" width="12.375" customWidth="1"/>
    <col min="2" max="2" width="54.875" style="54" customWidth="1"/>
    <col min="3" max="3" width="40" style="54" customWidth="1"/>
    <col min="4" max="4" width="9.5" style="56" customWidth="1"/>
    <col min="5" max="5" width="10.875" style="81" customWidth="1"/>
    <col min="6" max="6" width="6.625" hidden="1" customWidth="1"/>
    <col min="7" max="7" width="9" style="55" customWidth="1"/>
    <col min="8" max="8" width="10" style="56" customWidth="1"/>
    <col min="9" max="9" width="10.25" style="56" customWidth="1"/>
    <col min="10" max="10" width="11.25" style="57" customWidth="1"/>
    <col min="11" max="12" width="10.125" style="57" hidden="1" customWidth="1"/>
    <col min="13" max="13" width="10.75" style="57" hidden="1" customWidth="1"/>
    <col min="14" max="14" width="8.25" style="57" hidden="1" customWidth="1"/>
    <col min="15" max="15" width="48.75" style="54" customWidth="1"/>
    <col min="16" max="16" width="26.875" customWidth="1"/>
  </cols>
  <sheetData>
    <row r="1" spans="1:16" s="54" customFormat="1" ht="28.5" x14ac:dyDescent="0.2">
      <c r="A1" s="54" t="s">
        <v>349</v>
      </c>
      <c r="B1" s="54" t="s">
        <v>454</v>
      </c>
      <c r="C1" s="54" t="s">
        <v>455</v>
      </c>
      <c r="D1" s="58" t="s">
        <v>1087</v>
      </c>
      <c r="E1" s="80" t="s">
        <v>529</v>
      </c>
      <c r="F1" s="54" t="s">
        <v>344</v>
      </c>
      <c r="G1" s="60" t="s">
        <v>345</v>
      </c>
      <c r="H1" s="58" t="s">
        <v>528</v>
      </c>
      <c r="I1" s="58" t="s">
        <v>563</v>
      </c>
      <c r="J1" s="59" t="s">
        <v>564</v>
      </c>
      <c r="K1" s="59" t="s">
        <v>565</v>
      </c>
      <c r="L1" s="46" t="s">
        <v>1085</v>
      </c>
      <c r="M1" s="46" t="s">
        <v>1086</v>
      </c>
      <c r="N1" s="105" t="s">
        <v>840</v>
      </c>
      <c r="O1" s="54" t="s">
        <v>559</v>
      </c>
      <c r="P1" s="54" t="s">
        <v>560</v>
      </c>
    </row>
    <row r="2" spans="1:16" x14ac:dyDescent="0.2">
      <c r="A2" t="s">
        <v>359</v>
      </c>
      <c r="B2" s="54" t="s">
        <v>360</v>
      </c>
      <c r="C2" s="54" t="s">
        <v>499</v>
      </c>
      <c r="D2" s="56">
        <v>11080</v>
      </c>
      <c r="E2" s="81">
        <v>42831</v>
      </c>
      <c r="F2">
        <v>1</v>
      </c>
      <c r="G2" s="55">
        <v>1</v>
      </c>
      <c r="H2" s="56">
        <v>127826.38</v>
      </c>
      <c r="I2" s="56">
        <v>255652.76</v>
      </c>
      <c r="J2" s="57">
        <v>283263</v>
      </c>
      <c r="K2" s="57">
        <f t="shared" ref="K2:K65" si="0">J2*G2</f>
        <v>283263</v>
      </c>
      <c r="O2" s="90" t="s">
        <v>1755</v>
      </c>
      <c r="P2" s="67" t="s">
        <v>1127</v>
      </c>
    </row>
    <row r="3" spans="1:16" ht="28.5" x14ac:dyDescent="0.2">
      <c r="A3" t="s">
        <v>359</v>
      </c>
      <c r="B3" s="54" t="s">
        <v>361</v>
      </c>
      <c r="C3" s="54" t="s">
        <v>537</v>
      </c>
      <c r="D3" s="56">
        <v>12900</v>
      </c>
      <c r="E3" s="81">
        <v>42831</v>
      </c>
      <c r="F3">
        <v>3</v>
      </c>
      <c r="G3" s="55">
        <v>0.5</v>
      </c>
      <c r="H3" s="56">
        <v>29687.55</v>
      </c>
      <c r="I3" s="56">
        <v>148437</v>
      </c>
      <c r="J3" s="57">
        <v>191484</v>
      </c>
      <c r="K3" s="57">
        <f t="shared" si="0"/>
        <v>95742</v>
      </c>
      <c r="O3" s="90" t="s">
        <v>1756</v>
      </c>
      <c r="P3" s="67" t="s">
        <v>1128</v>
      </c>
    </row>
    <row r="4" spans="1:16" s="154" customFormat="1" ht="28.5" x14ac:dyDescent="0.2">
      <c r="A4" t="s">
        <v>355</v>
      </c>
      <c r="B4" s="54" t="s">
        <v>423</v>
      </c>
      <c r="C4" s="54" t="s">
        <v>531</v>
      </c>
      <c r="D4" s="56">
        <v>8611</v>
      </c>
      <c r="E4" s="81">
        <v>42810</v>
      </c>
      <c r="F4">
        <v>4</v>
      </c>
      <c r="G4" s="55">
        <v>0.75</v>
      </c>
      <c r="H4" s="56">
        <v>71037.960000000006</v>
      </c>
      <c r="I4" s="56">
        <v>220217.68</v>
      </c>
      <c r="J4" s="57">
        <v>190000</v>
      </c>
      <c r="K4" s="57">
        <f t="shared" si="0"/>
        <v>142500</v>
      </c>
      <c r="L4" s="57"/>
      <c r="M4" s="57"/>
      <c r="N4" s="57"/>
      <c r="O4" s="90" t="s">
        <v>1757</v>
      </c>
      <c r="P4" s="67" t="s">
        <v>1129</v>
      </c>
    </row>
    <row r="5" spans="1:16" ht="28.5" x14ac:dyDescent="0.2">
      <c r="A5" t="s">
        <v>1399</v>
      </c>
      <c r="B5" s="54" t="s">
        <v>445</v>
      </c>
      <c r="C5" s="54" t="s">
        <v>540</v>
      </c>
      <c r="D5" s="56">
        <v>15997.32</v>
      </c>
      <c r="E5" s="81">
        <v>42860</v>
      </c>
      <c r="F5">
        <v>2</v>
      </c>
      <c r="G5" s="55">
        <v>1</v>
      </c>
      <c r="H5" s="56">
        <v>51156</v>
      </c>
      <c r="I5" s="56">
        <v>112543.2</v>
      </c>
      <c r="J5" s="57">
        <v>180039</v>
      </c>
      <c r="K5" s="57">
        <f t="shared" si="0"/>
        <v>180039</v>
      </c>
      <c r="O5" s="90" t="s">
        <v>1758</v>
      </c>
      <c r="P5" s="67" t="s">
        <v>1130</v>
      </c>
    </row>
    <row r="6" spans="1:16" x14ac:dyDescent="0.2">
      <c r="A6" t="s">
        <v>362</v>
      </c>
      <c r="B6" s="54" t="s">
        <v>444</v>
      </c>
      <c r="C6" s="54" t="s">
        <v>1948</v>
      </c>
      <c r="D6" s="56">
        <v>15208.92</v>
      </c>
      <c r="E6" s="81">
        <v>42860</v>
      </c>
      <c r="F6">
        <v>3</v>
      </c>
      <c r="H6" s="56">
        <v>47719</v>
      </c>
      <c r="I6" s="56">
        <v>104981.8</v>
      </c>
      <c r="J6" s="57">
        <v>159666</v>
      </c>
      <c r="K6" s="57">
        <f t="shared" si="0"/>
        <v>0</v>
      </c>
      <c r="O6" s="90" t="s">
        <v>1760</v>
      </c>
    </row>
    <row r="7" spans="1:16" x14ac:dyDescent="0.2">
      <c r="H7" s="56">
        <f>SUM(H5:H6)</f>
        <v>98875</v>
      </c>
      <c r="I7" s="56">
        <f t="shared" ref="I7:J7" si="1">SUM(I5:I6)</f>
        <v>217525</v>
      </c>
      <c r="J7" s="56">
        <f t="shared" si="1"/>
        <v>339705</v>
      </c>
      <c r="O7" s="90"/>
    </row>
    <row r="8" spans="1:16" ht="28.5" x14ac:dyDescent="0.2">
      <c r="A8" t="s">
        <v>354</v>
      </c>
      <c r="B8" s="54" t="s">
        <v>494</v>
      </c>
      <c r="C8" s="54" t="s">
        <v>533</v>
      </c>
      <c r="D8" s="56">
        <v>3830</v>
      </c>
      <c r="E8" s="81">
        <v>42809</v>
      </c>
      <c r="F8">
        <v>2</v>
      </c>
      <c r="G8" s="55">
        <v>1</v>
      </c>
      <c r="H8" s="56">
        <v>153942</v>
      </c>
      <c r="I8" s="56">
        <v>384855</v>
      </c>
      <c r="J8" s="57">
        <v>147410</v>
      </c>
      <c r="K8" s="57">
        <f t="shared" si="0"/>
        <v>147410</v>
      </c>
      <c r="O8" s="90" t="s">
        <v>1761</v>
      </c>
      <c r="P8" s="67" t="s">
        <v>1133</v>
      </c>
    </row>
    <row r="9" spans="1:16" x14ac:dyDescent="0.2">
      <c r="A9" t="s">
        <v>350</v>
      </c>
      <c r="B9" s="54" t="s">
        <v>1134</v>
      </c>
      <c r="C9" s="54" t="s">
        <v>395</v>
      </c>
      <c r="D9" s="56">
        <v>7020</v>
      </c>
      <c r="E9" s="81">
        <v>43026</v>
      </c>
      <c r="F9">
        <v>7</v>
      </c>
      <c r="G9" s="55">
        <v>0.3</v>
      </c>
      <c r="H9" s="56">
        <v>101658.05</v>
      </c>
      <c r="I9" s="56">
        <v>203316.1</v>
      </c>
      <c r="J9" s="57">
        <v>142727.9</v>
      </c>
      <c r="K9" s="57">
        <f t="shared" si="0"/>
        <v>42818.369999999995</v>
      </c>
      <c r="O9" s="90" t="s">
        <v>1466</v>
      </c>
    </row>
    <row r="10" spans="1:16" ht="28.5" x14ac:dyDescent="0.2">
      <c r="A10" t="s">
        <v>359</v>
      </c>
      <c r="B10" s="54" t="s">
        <v>1136</v>
      </c>
      <c r="C10" s="54" t="s">
        <v>1135</v>
      </c>
      <c r="D10" s="56">
        <v>9800</v>
      </c>
      <c r="E10" s="81">
        <v>42996</v>
      </c>
      <c r="F10">
        <v>4</v>
      </c>
      <c r="G10" s="55">
        <v>1</v>
      </c>
      <c r="H10" s="56">
        <v>54126.6</v>
      </c>
      <c r="I10" s="56">
        <v>135316.5</v>
      </c>
      <c r="J10" s="57">
        <v>132613</v>
      </c>
      <c r="K10" s="57">
        <f t="shared" si="0"/>
        <v>132613</v>
      </c>
      <c r="O10" s="90" t="s">
        <v>1762</v>
      </c>
      <c r="P10" s="67" t="s">
        <v>1138</v>
      </c>
    </row>
    <row r="11" spans="1:16" ht="28.5" x14ac:dyDescent="0.2">
      <c r="A11" t="s">
        <v>408</v>
      </c>
      <c r="B11" s="54" t="s">
        <v>1139</v>
      </c>
      <c r="C11" s="54" t="s">
        <v>524</v>
      </c>
      <c r="D11" s="56">
        <v>6600</v>
      </c>
      <c r="E11" s="81">
        <v>43096</v>
      </c>
      <c r="F11">
        <v>19</v>
      </c>
      <c r="G11" s="55">
        <v>1</v>
      </c>
      <c r="H11" s="56">
        <v>99540.79</v>
      </c>
      <c r="I11" s="56">
        <v>199081.58</v>
      </c>
      <c r="J11" s="57">
        <v>131394</v>
      </c>
      <c r="K11" s="57">
        <f t="shared" si="0"/>
        <v>131394</v>
      </c>
      <c r="O11" s="90" t="s">
        <v>1763</v>
      </c>
      <c r="P11" s="67" t="s">
        <v>1140</v>
      </c>
    </row>
    <row r="12" spans="1:16" ht="28.5" x14ac:dyDescent="0.2">
      <c r="A12" t="s">
        <v>396</v>
      </c>
      <c r="B12" s="54" t="s">
        <v>1765</v>
      </c>
      <c r="C12" s="54" t="s">
        <v>476</v>
      </c>
      <c r="D12" s="56">
        <v>4563</v>
      </c>
      <c r="E12" s="81">
        <v>43028</v>
      </c>
      <c r="F12">
        <v>8</v>
      </c>
      <c r="G12" s="55">
        <v>0.51</v>
      </c>
      <c r="H12" s="56">
        <v>75614</v>
      </c>
      <c r="I12" s="56">
        <v>287332</v>
      </c>
      <c r="J12" s="57">
        <v>131118.68</v>
      </c>
      <c r="K12" s="57">
        <f t="shared" si="0"/>
        <v>66870.526799999992</v>
      </c>
      <c r="O12" s="90" t="s">
        <v>1764</v>
      </c>
      <c r="P12" s="67" t="s">
        <v>1141</v>
      </c>
    </row>
    <row r="13" spans="1:16" x14ac:dyDescent="0.2">
      <c r="A13" t="s">
        <v>362</v>
      </c>
      <c r="B13" s="54" t="s">
        <v>433</v>
      </c>
      <c r="C13" s="54" t="s">
        <v>520</v>
      </c>
      <c r="D13" s="56">
        <v>9932</v>
      </c>
      <c r="E13" s="81">
        <v>43041</v>
      </c>
      <c r="F13">
        <v>8</v>
      </c>
      <c r="G13" s="55">
        <v>0.3</v>
      </c>
      <c r="H13" s="56">
        <v>59747</v>
      </c>
      <c r="I13" s="56">
        <v>131443</v>
      </c>
      <c r="J13" s="57">
        <v>130550</v>
      </c>
      <c r="K13" s="57">
        <f t="shared" si="0"/>
        <v>39165</v>
      </c>
      <c r="O13" s="90" t="s">
        <v>1142</v>
      </c>
    </row>
    <row r="14" spans="1:16" x14ac:dyDescent="0.2">
      <c r="A14" t="s">
        <v>384</v>
      </c>
      <c r="B14" s="54" t="s">
        <v>1143</v>
      </c>
      <c r="C14" s="54" t="s">
        <v>512</v>
      </c>
      <c r="D14" s="56">
        <v>4455.0600000000004</v>
      </c>
      <c r="E14" s="81">
        <v>42997</v>
      </c>
      <c r="F14">
        <v>6</v>
      </c>
      <c r="G14" s="55">
        <v>0.4</v>
      </c>
      <c r="H14" s="56">
        <v>113366</v>
      </c>
      <c r="I14" s="56">
        <v>283415</v>
      </c>
      <c r="J14" s="57">
        <v>126263</v>
      </c>
      <c r="K14" s="57">
        <f t="shared" si="0"/>
        <v>50505.200000000004</v>
      </c>
      <c r="O14" s="90" t="s">
        <v>1144</v>
      </c>
    </row>
    <row r="15" spans="1:16" ht="28.5" x14ac:dyDescent="0.2">
      <c r="A15" t="s">
        <v>396</v>
      </c>
      <c r="B15" s="54" t="s">
        <v>407</v>
      </c>
      <c r="C15" s="54" t="s">
        <v>1145</v>
      </c>
      <c r="D15" s="56">
        <v>5003.1000000000004</v>
      </c>
      <c r="E15" s="81">
        <v>43033</v>
      </c>
      <c r="F15">
        <v>14</v>
      </c>
      <c r="G15" s="55">
        <v>1</v>
      </c>
      <c r="H15" s="56">
        <v>48729.77</v>
      </c>
      <c r="I15" s="56">
        <v>243648.85</v>
      </c>
      <c r="J15" s="57">
        <v>121900</v>
      </c>
      <c r="K15" s="57">
        <f t="shared" si="0"/>
        <v>121900</v>
      </c>
      <c r="O15" s="90" t="s">
        <v>1766</v>
      </c>
      <c r="P15" s="67" t="s">
        <v>1146</v>
      </c>
    </row>
    <row r="16" spans="1:16" x14ac:dyDescent="0.2">
      <c r="A16" t="s">
        <v>362</v>
      </c>
      <c r="B16" s="54" t="s">
        <v>448</v>
      </c>
      <c r="C16" s="54" t="s">
        <v>1147</v>
      </c>
      <c r="D16" s="56">
        <v>6351.77</v>
      </c>
      <c r="E16" s="81">
        <v>42851</v>
      </c>
      <c r="F16">
        <v>6</v>
      </c>
      <c r="G16" s="55">
        <v>0.49</v>
      </c>
      <c r="H16" s="56">
        <v>69598</v>
      </c>
      <c r="I16" s="56">
        <v>187914.6</v>
      </c>
      <c r="J16" s="57">
        <v>119359</v>
      </c>
      <c r="K16" s="57">
        <f t="shared" si="0"/>
        <v>58485.909999999996</v>
      </c>
      <c r="O16" s="90" t="s">
        <v>1148</v>
      </c>
    </row>
    <row r="17" spans="1:16" ht="28.5" x14ac:dyDescent="0.2">
      <c r="A17" s="154" t="s">
        <v>352</v>
      </c>
      <c r="B17" s="54" t="s">
        <v>1081</v>
      </c>
      <c r="C17" s="54" t="s">
        <v>470</v>
      </c>
      <c r="D17" s="155">
        <v>7634.45</v>
      </c>
      <c r="E17" s="156">
        <v>42909</v>
      </c>
      <c r="F17" s="154">
        <v>7</v>
      </c>
      <c r="G17" s="157">
        <v>0.33</v>
      </c>
      <c r="H17" s="155">
        <v>118571.8</v>
      </c>
      <c r="I17" s="155">
        <f>154143.34+67500</f>
        <v>221643.34</v>
      </c>
      <c r="J17" s="158">
        <v>117680</v>
      </c>
      <c r="K17" s="158">
        <f t="shared" si="0"/>
        <v>38834.400000000001</v>
      </c>
      <c r="L17" s="159">
        <f>I17*10000*17000/100000000</f>
        <v>376793.67800000001</v>
      </c>
      <c r="M17" s="143">
        <f>(L17-J17-(I17*4500/10000)-J17*0.08)</f>
        <v>149959.77500000002</v>
      </c>
      <c r="N17" s="144">
        <f>M17/L17</f>
        <v>0.39798909524166703</v>
      </c>
      <c r="O17" s="54" t="s">
        <v>1088</v>
      </c>
      <c r="P17" s="68" t="s">
        <v>1082</v>
      </c>
    </row>
    <row r="18" spans="1:16" x14ac:dyDescent="0.2">
      <c r="A18" t="s">
        <v>359</v>
      </c>
      <c r="B18" s="54" t="s">
        <v>1149</v>
      </c>
      <c r="C18" s="54" t="s">
        <v>500</v>
      </c>
      <c r="D18" s="56">
        <v>9400</v>
      </c>
      <c r="E18" s="81">
        <v>42831</v>
      </c>
      <c r="F18">
        <v>2</v>
      </c>
      <c r="G18" s="55">
        <v>1</v>
      </c>
      <c r="H18" s="56">
        <v>42273.27</v>
      </c>
      <c r="I18" s="56">
        <v>123015.22</v>
      </c>
      <c r="J18" s="57">
        <v>115825</v>
      </c>
      <c r="K18" s="57">
        <f t="shared" si="0"/>
        <v>115825</v>
      </c>
      <c r="O18" s="90" t="s">
        <v>1151</v>
      </c>
      <c r="P18" s="67" t="s">
        <v>1150</v>
      </c>
    </row>
    <row r="19" spans="1:16" x14ac:dyDescent="0.2">
      <c r="A19" t="s">
        <v>1153</v>
      </c>
      <c r="B19" s="54" t="s">
        <v>1152</v>
      </c>
      <c r="C19" s="54" t="s">
        <v>347</v>
      </c>
      <c r="D19" s="56">
        <v>4291.38</v>
      </c>
      <c r="E19" s="81">
        <v>43029</v>
      </c>
      <c r="F19">
        <v>9</v>
      </c>
      <c r="G19" s="55">
        <v>1</v>
      </c>
      <c r="H19" s="56">
        <v>65467</v>
      </c>
      <c r="I19" s="56">
        <v>267105</v>
      </c>
      <c r="J19" s="57">
        <v>114625</v>
      </c>
      <c r="K19" s="57">
        <f t="shared" si="0"/>
        <v>114625</v>
      </c>
      <c r="O19" s="90" t="s">
        <v>1754</v>
      </c>
      <c r="P19" s="67" t="s">
        <v>1154</v>
      </c>
    </row>
    <row r="20" spans="1:16" x14ac:dyDescent="0.2">
      <c r="A20" t="s">
        <v>350</v>
      </c>
      <c r="B20" s="54" t="s">
        <v>419</v>
      </c>
      <c r="C20" s="54" t="s">
        <v>485</v>
      </c>
      <c r="D20" s="56">
        <v>6562</v>
      </c>
      <c r="E20" s="81">
        <v>43094</v>
      </c>
      <c r="F20">
        <v>16</v>
      </c>
      <c r="G20" s="55">
        <v>0.33300000000000002</v>
      </c>
      <c r="H20" s="56">
        <v>75323</v>
      </c>
      <c r="I20" s="56">
        <v>137088</v>
      </c>
      <c r="J20" s="57">
        <v>107711</v>
      </c>
      <c r="K20" s="57">
        <f t="shared" si="0"/>
        <v>35867.762999999999</v>
      </c>
      <c r="O20" s="90" t="s">
        <v>1155</v>
      </c>
      <c r="P20" s="67" t="s">
        <v>1156</v>
      </c>
    </row>
    <row r="21" spans="1:16" ht="28.5" x14ac:dyDescent="0.2">
      <c r="A21" t="s">
        <v>373</v>
      </c>
      <c r="B21" s="54" t="s">
        <v>459</v>
      </c>
      <c r="C21" s="54" t="s">
        <v>504</v>
      </c>
      <c r="D21" s="56">
        <v>5375.39</v>
      </c>
      <c r="E21" s="81">
        <v>42894</v>
      </c>
      <c r="F21">
        <v>4</v>
      </c>
      <c r="G21" s="55">
        <v>0.45</v>
      </c>
      <c r="H21" s="56">
        <v>108726</v>
      </c>
      <c r="I21" s="56">
        <v>195706.8</v>
      </c>
      <c r="J21" s="57">
        <v>105200</v>
      </c>
      <c r="K21" s="57">
        <f t="shared" si="0"/>
        <v>47340</v>
      </c>
      <c r="O21" s="90" t="s">
        <v>1157</v>
      </c>
    </row>
    <row r="22" spans="1:16" x14ac:dyDescent="0.2">
      <c r="A22" t="s">
        <v>350</v>
      </c>
      <c r="B22" s="54" t="s">
        <v>426</v>
      </c>
      <c r="C22" s="54" t="s">
        <v>509</v>
      </c>
      <c r="D22" s="56">
        <v>3264</v>
      </c>
      <c r="E22" s="81">
        <v>42969</v>
      </c>
      <c r="F22">
        <v>3</v>
      </c>
      <c r="G22" s="55">
        <v>0.2</v>
      </c>
      <c r="H22" s="56">
        <v>180729.60000000001</v>
      </c>
      <c r="I22" s="56">
        <v>321699</v>
      </c>
      <c r="J22" s="57">
        <v>105004</v>
      </c>
      <c r="K22" s="57">
        <f t="shared" si="0"/>
        <v>21000.800000000003</v>
      </c>
      <c r="O22" s="90" t="s">
        <v>1158</v>
      </c>
    </row>
    <row r="23" spans="1:16" s="69" customFormat="1" x14ac:dyDescent="0.2">
      <c r="A23" s="69" t="s">
        <v>378</v>
      </c>
      <c r="B23" s="384" t="s">
        <v>1159</v>
      </c>
      <c r="C23" s="384" t="s">
        <v>546</v>
      </c>
      <c r="D23" s="385">
        <v>4900</v>
      </c>
      <c r="E23" s="386">
        <v>42920</v>
      </c>
      <c r="F23" s="69">
        <v>1</v>
      </c>
      <c r="G23" s="387">
        <v>1</v>
      </c>
      <c r="H23" s="385">
        <v>74771</v>
      </c>
      <c r="I23" s="385">
        <v>209358.8</v>
      </c>
      <c r="J23" s="388">
        <v>102586</v>
      </c>
      <c r="K23" s="388">
        <f t="shared" si="0"/>
        <v>102586</v>
      </c>
      <c r="L23" s="388"/>
      <c r="M23" s="388"/>
      <c r="N23" s="388"/>
      <c r="O23" s="389" t="s">
        <v>1160</v>
      </c>
    </row>
    <row r="24" spans="1:16" x14ac:dyDescent="0.2">
      <c r="A24" t="s">
        <v>1163</v>
      </c>
      <c r="B24" s="54" t="s">
        <v>1161</v>
      </c>
      <c r="C24" s="54" t="s">
        <v>536</v>
      </c>
      <c r="D24" s="56">
        <v>6632</v>
      </c>
      <c r="E24" s="81">
        <v>42825</v>
      </c>
      <c r="F24">
        <v>7</v>
      </c>
      <c r="G24" s="55">
        <v>0.5</v>
      </c>
      <c r="H24" s="56">
        <v>35327.86</v>
      </c>
      <c r="I24" s="56">
        <v>52991.79</v>
      </c>
      <c r="J24" s="57">
        <v>100700</v>
      </c>
      <c r="K24" s="57">
        <f t="shared" si="0"/>
        <v>50350</v>
      </c>
      <c r="O24" s="90" t="s">
        <v>1165</v>
      </c>
      <c r="P24" s="67" t="s">
        <v>1162</v>
      </c>
    </row>
    <row r="25" spans="1:16" x14ac:dyDescent="0.2">
      <c r="A25" t="s">
        <v>392</v>
      </c>
      <c r="B25" s="54" t="s">
        <v>1166</v>
      </c>
      <c r="C25" s="54" t="s">
        <v>393</v>
      </c>
      <c r="D25" s="56">
        <v>9916</v>
      </c>
      <c r="E25" s="81">
        <v>43025</v>
      </c>
      <c r="F25">
        <v>5</v>
      </c>
      <c r="G25" s="55">
        <v>1</v>
      </c>
      <c r="H25" s="56">
        <v>58444.63</v>
      </c>
      <c r="I25" s="56">
        <v>99355.87</v>
      </c>
      <c r="J25" s="57">
        <v>98517</v>
      </c>
      <c r="K25" s="57">
        <f t="shared" si="0"/>
        <v>98517</v>
      </c>
      <c r="O25" s="90" t="s">
        <v>1167</v>
      </c>
    </row>
    <row r="26" spans="1:16" x14ac:dyDescent="0.2">
      <c r="A26" t="s">
        <v>350</v>
      </c>
      <c r="B26" s="54" t="s">
        <v>1168</v>
      </c>
      <c r="C26" s="54" t="s">
        <v>543</v>
      </c>
      <c r="D26" s="56">
        <v>5633.45</v>
      </c>
      <c r="E26" s="81">
        <v>42907</v>
      </c>
      <c r="F26">
        <v>6</v>
      </c>
      <c r="G26" s="55">
        <v>0.17</v>
      </c>
      <c r="H26" s="56">
        <v>86651.71</v>
      </c>
      <c r="I26" s="56">
        <v>173044</v>
      </c>
      <c r="J26" s="57">
        <v>97483</v>
      </c>
      <c r="K26" s="57">
        <f t="shared" si="0"/>
        <v>16572.11</v>
      </c>
      <c r="O26" s="90" t="s">
        <v>1169</v>
      </c>
    </row>
    <row r="27" spans="1:16" x14ac:dyDescent="0.2">
      <c r="A27" t="s">
        <v>351</v>
      </c>
      <c r="B27" s="54" t="s">
        <v>526</v>
      </c>
      <c r="C27" s="54" t="s">
        <v>535</v>
      </c>
      <c r="D27" s="56">
        <v>4754.41</v>
      </c>
      <c r="E27" s="81">
        <v>42790</v>
      </c>
      <c r="F27">
        <v>2</v>
      </c>
      <c r="G27" s="55">
        <v>1</v>
      </c>
      <c r="H27" s="56">
        <v>127644.61</v>
      </c>
      <c r="I27" s="56">
        <v>204231.38</v>
      </c>
      <c r="J27" s="57">
        <v>97100</v>
      </c>
      <c r="K27" s="57">
        <f t="shared" si="0"/>
        <v>97100</v>
      </c>
      <c r="O27" s="90" t="s">
        <v>1170</v>
      </c>
    </row>
    <row r="28" spans="1:16" s="180" customFormat="1" x14ac:dyDescent="0.2">
      <c r="A28" s="180" t="s">
        <v>383</v>
      </c>
      <c r="B28" s="181" t="s">
        <v>1171</v>
      </c>
      <c r="C28" s="181" t="s">
        <v>462</v>
      </c>
      <c r="D28" s="182">
        <v>3039</v>
      </c>
      <c r="E28" s="83">
        <v>43012</v>
      </c>
      <c r="F28" s="180">
        <v>1</v>
      </c>
      <c r="G28" s="183">
        <v>0.55000000000000004</v>
      </c>
      <c r="H28" s="182">
        <v>127525</v>
      </c>
      <c r="I28" s="182">
        <v>318812.5</v>
      </c>
      <c r="J28" s="184">
        <v>96888</v>
      </c>
      <c r="K28" s="184">
        <f t="shared" si="0"/>
        <v>53288.4</v>
      </c>
      <c r="L28" s="184"/>
      <c r="M28" s="184"/>
      <c r="N28" s="184"/>
      <c r="O28" s="185" t="s">
        <v>1172</v>
      </c>
    </row>
    <row r="29" spans="1:16" x14ac:dyDescent="0.2">
      <c r="A29" t="s">
        <v>392</v>
      </c>
      <c r="B29" s="54" t="s">
        <v>1173</v>
      </c>
      <c r="C29" s="54" t="s">
        <v>1174</v>
      </c>
      <c r="D29" s="56">
        <v>12045</v>
      </c>
      <c r="E29" s="81">
        <v>43039</v>
      </c>
      <c r="F29">
        <v>17</v>
      </c>
      <c r="G29" s="55">
        <v>0.51</v>
      </c>
      <c r="H29" s="56">
        <v>52933.599999999999</v>
      </c>
      <c r="I29" s="56">
        <v>79400.399999999994</v>
      </c>
      <c r="J29" s="57">
        <v>95639</v>
      </c>
      <c r="K29" s="57">
        <f t="shared" si="0"/>
        <v>48775.89</v>
      </c>
      <c r="O29" s="90" t="s">
        <v>1176</v>
      </c>
      <c r="P29" s="67" t="s">
        <v>1175</v>
      </c>
    </row>
    <row r="30" spans="1:16" s="180" customFormat="1" ht="28.5" x14ac:dyDescent="0.2">
      <c r="A30" s="180" t="s">
        <v>383</v>
      </c>
      <c r="B30" s="181" t="s">
        <v>1177</v>
      </c>
      <c r="C30" s="181" t="s">
        <v>511</v>
      </c>
      <c r="D30" s="182">
        <v>2985.69</v>
      </c>
      <c r="E30" s="83">
        <v>42994</v>
      </c>
      <c r="F30" s="180">
        <v>2</v>
      </c>
      <c r="G30" s="183">
        <v>0.8</v>
      </c>
      <c r="H30" s="182">
        <v>120905</v>
      </c>
      <c r="I30" s="182">
        <v>316771.09999999998</v>
      </c>
      <c r="J30" s="184">
        <v>94578</v>
      </c>
      <c r="K30" s="184">
        <f t="shared" si="0"/>
        <v>75662.400000000009</v>
      </c>
      <c r="L30" s="184"/>
      <c r="M30" s="184"/>
      <c r="N30" s="184"/>
      <c r="O30" s="185" t="s">
        <v>1179</v>
      </c>
      <c r="P30" s="67" t="s">
        <v>1178</v>
      </c>
    </row>
    <row r="31" spans="1:16" x14ac:dyDescent="0.2">
      <c r="A31" t="s">
        <v>397</v>
      </c>
      <c r="B31" s="54" t="s">
        <v>1181</v>
      </c>
      <c r="C31" s="54" t="s">
        <v>1180</v>
      </c>
      <c r="D31" s="56">
        <v>1721.3</v>
      </c>
      <c r="E31" s="81">
        <v>43029</v>
      </c>
      <c r="F31">
        <v>10</v>
      </c>
      <c r="G31" s="55">
        <v>1</v>
      </c>
      <c r="H31" s="56">
        <v>160001</v>
      </c>
      <c r="I31" s="56">
        <v>488002</v>
      </c>
      <c r="J31" s="57">
        <v>84000</v>
      </c>
      <c r="K31" s="57">
        <f t="shared" si="0"/>
        <v>84000</v>
      </c>
      <c r="O31" s="90"/>
    </row>
    <row r="32" spans="1:16" x14ac:dyDescent="0.2">
      <c r="A32" t="s">
        <v>404</v>
      </c>
      <c r="B32" s="54" t="s">
        <v>405</v>
      </c>
      <c r="C32" s="54" t="s">
        <v>1182</v>
      </c>
      <c r="D32" s="56">
        <v>3900.05</v>
      </c>
      <c r="E32" s="81">
        <v>43029</v>
      </c>
      <c r="F32">
        <v>12</v>
      </c>
      <c r="G32" s="55">
        <v>0.49</v>
      </c>
      <c r="H32" s="56">
        <v>82602</v>
      </c>
      <c r="I32" s="56">
        <v>206505</v>
      </c>
      <c r="J32" s="57">
        <v>80538</v>
      </c>
      <c r="K32" s="57">
        <f t="shared" si="0"/>
        <v>39463.620000000003</v>
      </c>
      <c r="O32" s="90" t="s">
        <v>1767</v>
      </c>
      <c r="P32" s="67" t="s">
        <v>1183</v>
      </c>
    </row>
    <row r="33" spans="1:16" ht="28.5" x14ac:dyDescent="0.2">
      <c r="A33" s="154" t="s">
        <v>352</v>
      </c>
      <c r="B33" s="54" t="s">
        <v>440</v>
      </c>
      <c r="C33" s="54" t="s">
        <v>487</v>
      </c>
      <c r="D33" s="155">
        <v>4742.42</v>
      </c>
      <c r="E33" s="156">
        <v>43096</v>
      </c>
      <c r="F33" s="154">
        <v>20</v>
      </c>
      <c r="G33" s="157">
        <v>0.35</v>
      </c>
      <c r="H33" s="155">
        <v>57430</v>
      </c>
      <c r="I33" s="155">
        <v>160804</v>
      </c>
      <c r="J33" s="158">
        <v>76260</v>
      </c>
      <c r="K33" s="158">
        <f t="shared" si="0"/>
        <v>26691</v>
      </c>
      <c r="L33" s="159">
        <f>I33*10000*11000/100000000</f>
        <v>176884.4</v>
      </c>
      <c r="M33" s="143">
        <f>(L33-J33-(I33*4500/10000)-J33*0.08)</f>
        <v>22161.799999999992</v>
      </c>
      <c r="N33" s="144">
        <f>M33/L33</f>
        <v>0.12528973725212619</v>
      </c>
      <c r="O33" s="54" t="s">
        <v>1083</v>
      </c>
      <c r="P33" s="68" t="s">
        <v>1084</v>
      </c>
    </row>
    <row r="34" spans="1:16" s="154" customFormat="1" ht="28.5" x14ac:dyDescent="0.2">
      <c r="A34" s="154" t="s">
        <v>352</v>
      </c>
      <c r="B34" s="54" t="s">
        <v>353</v>
      </c>
      <c r="C34" s="54" t="s">
        <v>496</v>
      </c>
      <c r="D34" s="155">
        <v>1037</v>
      </c>
      <c r="E34" s="156">
        <v>42794</v>
      </c>
      <c r="F34" s="154">
        <v>3</v>
      </c>
      <c r="G34" s="157">
        <v>0.5</v>
      </c>
      <c r="H34" s="155">
        <v>420927</v>
      </c>
      <c r="I34" s="155">
        <v>700352.7</v>
      </c>
      <c r="J34" s="158">
        <v>72620</v>
      </c>
      <c r="K34" s="158">
        <f t="shared" si="0"/>
        <v>36310</v>
      </c>
      <c r="L34" s="159">
        <f>I34*10000*9500/100000000</f>
        <v>665335.06499999994</v>
      </c>
      <c r="M34" s="143">
        <f>(L34-J34-(I34*4500/10000)-J34*0.08)</f>
        <v>271746.74999999994</v>
      </c>
      <c r="N34" s="144">
        <f>M34/L34</f>
        <v>0.40843593595957545</v>
      </c>
      <c r="O34" s="54" t="s">
        <v>1079</v>
      </c>
      <c r="P34" s="68" t="s">
        <v>1080</v>
      </c>
    </row>
    <row r="35" spans="1:16" x14ac:dyDescent="0.2">
      <c r="A35" t="s">
        <v>381</v>
      </c>
      <c r="B35" s="54" t="s">
        <v>548</v>
      </c>
      <c r="C35" s="54" t="s">
        <v>548</v>
      </c>
      <c r="D35" s="56">
        <v>3299.32</v>
      </c>
      <c r="E35" s="81">
        <v>42969</v>
      </c>
      <c r="F35">
        <v>1</v>
      </c>
      <c r="G35" s="55">
        <v>1</v>
      </c>
      <c r="H35" s="56">
        <v>87290.67</v>
      </c>
      <c r="I35" s="56">
        <v>218226.67</v>
      </c>
      <c r="J35" s="57">
        <v>72000</v>
      </c>
      <c r="K35" s="57">
        <f t="shared" si="0"/>
        <v>72000</v>
      </c>
      <c r="O35" s="90" t="s">
        <v>1189</v>
      </c>
      <c r="P35" s="67" t="s">
        <v>1185</v>
      </c>
    </row>
    <row r="36" spans="1:16" x14ac:dyDescent="0.2">
      <c r="A36" t="s">
        <v>381</v>
      </c>
      <c r="B36" s="54" t="s">
        <v>1186</v>
      </c>
      <c r="C36" s="54" t="s">
        <v>463</v>
      </c>
      <c r="D36" s="56">
        <v>3520</v>
      </c>
      <c r="E36" s="81">
        <v>43040</v>
      </c>
      <c r="F36">
        <v>1</v>
      </c>
      <c r="G36" s="55">
        <v>1</v>
      </c>
      <c r="H36" s="56">
        <v>66470</v>
      </c>
      <c r="I36" s="56">
        <v>199412</v>
      </c>
      <c r="J36" s="57">
        <v>70193</v>
      </c>
      <c r="K36" s="57">
        <f t="shared" si="0"/>
        <v>70193</v>
      </c>
      <c r="O36" s="90" t="s">
        <v>1188</v>
      </c>
      <c r="P36" s="67" t="s">
        <v>1187</v>
      </c>
    </row>
    <row r="37" spans="1:16" x14ac:dyDescent="0.2">
      <c r="A37" t="s">
        <v>354</v>
      </c>
      <c r="B37" s="54" t="s">
        <v>495</v>
      </c>
      <c r="C37" s="54" t="s">
        <v>532</v>
      </c>
      <c r="D37" s="56">
        <v>3418</v>
      </c>
      <c r="E37" s="81">
        <v>42809</v>
      </c>
      <c r="F37">
        <v>3</v>
      </c>
      <c r="G37" s="55">
        <v>1</v>
      </c>
      <c r="H37" s="56">
        <v>82117</v>
      </c>
      <c r="I37" s="56">
        <v>205292</v>
      </c>
      <c r="J37" s="57">
        <v>70170</v>
      </c>
      <c r="K37" s="57">
        <f t="shared" si="0"/>
        <v>70170</v>
      </c>
      <c r="O37" s="90" t="s">
        <v>1190</v>
      </c>
    </row>
    <row r="38" spans="1:16" x14ac:dyDescent="0.2">
      <c r="A38" t="s">
        <v>408</v>
      </c>
      <c r="B38" s="54" t="s">
        <v>525</v>
      </c>
      <c r="C38" s="54" t="s">
        <v>523</v>
      </c>
      <c r="D38" s="56">
        <v>7600</v>
      </c>
      <c r="E38" s="81">
        <v>43096</v>
      </c>
      <c r="F38">
        <v>18</v>
      </c>
      <c r="G38" s="55">
        <v>1</v>
      </c>
      <c r="H38" s="56">
        <v>50060.76</v>
      </c>
      <c r="I38" s="56">
        <v>85103.29</v>
      </c>
      <c r="J38" s="57">
        <v>64679</v>
      </c>
      <c r="K38" s="57">
        <f t="shared" si="0"/>
        <v>64679</v>
      </c>
      <c r="O38" s="90" t="s">
        <v>1191</v>
      </c>
      <c r="P38" s="67" t="s">
        <v>1192</v>
      </c>
    </row>
    <row r="39" spans="1:16" x14ac:dyDescent="0.2">
      <c r="A39" t="s">
        <v>359</v>
      </c>
      <c r="B39" s="54" t="s">
        <v>399</v>
      </c>
      <c r="C39" s="54" t="s">
        <v>460</v>
      </c>
      <c r="D39" s="56">
        <v>9100</v>
      </c>
      <c r="E39" s="81">
        <v>42996</v>
      </c>
      <c r="F39">
        <v>5</v>
      </c>
      <c r="G39" s="55">
        <v>1</v>
      </c>
      <c r="H39" s="56">
        <v>27354.560000000001</v>
      </c>
      <c r="I39" s="56">
        <v>68386.399999999994</v>
      </c>
      <c r="J39" s="57">
        <v>62232</v>
      </c>
      <c r="K39" s="57">
        <f t="shared" si="0"/>
        <v>62232</v>
      </c>
      <c r="O39" s="90" t="s">
        <v>1137</v>
      </c>
    </row>
    <row r="40" spans="1:16" x14ac:dyDescent="0.2">
      <c r="A40" t="s">
        <v>350</v>
      </c>
      <c r="B40" s="54" t="s">
        <v>429</v>
      </c>
      <c r="C40" s="54" t="s">
        <v>517</v>
      </c>
      <c r="D40" s="56">
        <v>3306</v>
      </c>
      <c r="E40" s="81">
        <v>43039</v>
      </c>
      <c r="F40">
        <v>18</v>
      </c>
      <c r="G40" s="55">
        <v>0.2</v>
      </c>
      <c r="H40" s="56">
        <v>115500.02</v>
      </c>
      <c r="I40" s="56">
        <v>184800.03200000001</v>
      </c>
      <c r="J40" s="57">
        <v>61099.51</v>
      </c>
      <c r="K40" s="57">
        <f t="shared" si="0"/>
        <v>12219.902000000002</v>
      </c>
      <c r="O40" s="90" t="s">
        <v>1193</v>
      </c>
    </row>
    <row r="41" spans="1:16" x14ac:dyDescent="0.2">
      <c r="A41" t="s">
        <v>406</v>
      </c>
      <c r="B41" s="54" t="s">
        <v>515</v>
      </c>
      <c r="C41" s="54" t="s">
        <v>478</v>
      </c>
      <c r="D41" s="56">
        <v>6095</v>
      </c>
      <c r="E41" s="81">
        <v>43029</v>
      </c>
      <c r="F41">
        <v>13</v>
      </c>
      <c r="G41" s="55">
        <v>0.33300000000000002</v>
      </c>
      <c r="H41" s="56">
        <v>53908</v>
      </c>
      <c r="I41" s="56">
        <v>97034</v>
      </c>
      <c r="J41" s="57">
        <v>59242.8</v>
      </c>
      <c r="K41" s="57">
        <f t="shared" si="0"/>
        <v>19727.852400000003</v>
      </c>
      <c r="O41" s="90" t="s">
        <v>1195</v>
      </c>
      <c r="P41" s="67" t="s">
        <v>1194</v>
      </c>
    </row>
    <row r="42" spans="1:16" x14ac:dyDescent="0.2">
      <c r="A42" t="s">
        <v>356</v>
      </c>
      <c r="B42" s="54" t="s">
        <v>1196</v>
      </c>
      <c r="C42" s="54" t="s">
        <v>544</v>
      </c>
      <c r="D42" s="56">
        <v>4260.16</v>
      </c>
      <c r="E42" s="81">
        <v>42916</v>
      </c>
      <c r="F42">
        <v>9</v>
      </c>
      <c r="G42" s="55">
        <v>0.14779999999999999</v>
      </c>
      <c r="H42" s="56">
        <v>69206.25</v>
      </c>
      <c r="I42" s="56">
        <v>138412.5</v>
      </c>
      <c r="J42" s="57">
        <v>58966</v>
      </c>
      <c r="K42" s="57">
        <f t="shared" si="0"/>
        <v>8715.1747999999989</v>
      </c>
      <c r="O42" s="90" t="s">
        <v>1198</v>
      </c>
      <c r="P42" s="67" t="s">
        <v>1197</v>
      </c>
    </row>
    <row r="43" spans="1:16" x14ac:dyDescent="0.2">
      <c r="A43" t="s">
        <v>1367</v>
      </c>
      <c r="B43" s="54" t="s">
        <v>1199</v>
      </c>
      <c r="C43" s="54" t="s">
        <v>489</v>
      </c>
      <c r="D43" s="56">
        <v>4309</v>
      </c>
      <c r="E43" s="81">
        <v>43096</v>
      </c>
      <c r="F43">
        <v>22</v>
      </c>
      <c r="G43" s="55">
        <v>0.49</v>
      </c>
      <c r="H43" s="56">
        <v>104827.48</v>
      </c>
      <c r="I43" s="56">
        <v>136279</v>
      </c>
      <c r="J43" s="57">
        <v>55037.5</v>
      </c>
      <c r="K43" s="57">
        <f t="shared" si="0"/>
        <v>26968.375</v>
      </c>
      <c r="O43" s="90" t="s">
        <v>1368</v>
      </c>
      <c r="P43" s="67" t="s">
        <v>1366</v>
      </c>
    </row>
    <row r="44" spans="1:16" ht="28.5" x14ac:dyDescent="0.2">
      <c r="A44" t="s">
        <v>416</v>
      </c>
      <c r="B44" s="54" t="s">
        <v>437</v>
      </c>
      <c r="C44" s="54" t="s">
        <v>522</v>
      </c>
      <c r="D44" s="56">
        <v>6996</v>
      </c>
      <c r="E44" s="81">
        <v>43061</v>
      </c>
      <c r="F44">
        <v>12</v>
      </c>
      <c r="G44" s="55">
        <v>0.5</v>
      </c>
      <c r="H44" s="56">
        <v>52973.93</v>
      </c>
      <c r="I44" s="56">
        <v>158921.79</v>
      </c>
      <c r="J44" s="57">
        <v>54000</v>
      </c>
      <c r="K44" s="57">
        <f t="shared" si="0"/>
        <v>27000</v>
      </c>
      <c r="O44" s="90" t="s">
        <v>1936</v>
      </c>
      <c r="P44" s="67" t="s">
        <v>1369</v>
      </c>
    </row>
    <row r="45" spans="1:16" x14ac:dyDescent="0.2">
      <c r="A45" t="s">
        <v>377</v>
      </c>
      <c r="B45" s="54" t="s">
        <v>453</v>
      </c>
      <c r="C45" s="54" t="s">
        <v>545</v>
      </c>
      <c r="D45" s="56">
        <v>2468.1799999999998</v>
      </c>
      <c r="E45" s="81">
        <v>42916</v>
      </c>
      <c r="F45">
        <v>11</v>
      </c>
      <c r="G45" s="55">
        <v>0.51</v>
      </c>
      <c r="H45" s="56">
        <v>78953</v>
      </c>
      <c r="I45" s="56">
        <v>173696.6</v>
      </c>
      <c r="J45" s="57">
        <v>52871</v>
      </c>
      <c r="K45" s="57">
        <f t="shared" si="0"/>
        <v>26964.21</v>
      </c>
      <c r="O45" s="90" t="s">
        <v>1370</v>
      </c>
    </row>
    <row r="46" spans="1:16" ht="28.5" x14ac:dyDescent="0.2">
      <c r="A46" t="s">
        <v>367</v>
      </c>
      <c r="B46" s="54" t="s">
        <v>424</v>
      </c>
      <c r="C46" s="54" t="s">
        <v>527</v>
      </c>
      <c r="D46" s="56">
        <v>2492</v>
      </c>
      <c r="E46" s="81">
        <v>42941</v>
      </c>
      <c r="F46">
        <v>5</v>
      </c>
      <c r="G46" s="55">
        <v>0.25</v>
      </c>
      <c r="H46" s="56">
        <v>82741</v>
      </c>
      <c r="I46" s="56">
        <v>198578.4</v>
      </c>
      <c r="J46" s="57">
        <v>49479</v>
      </c>
      <c r="K46" s="57">
        <f t="shared" si="0"/>
        <v>12369.75</v>
      </c>
      <c r="O46" s="90" t="s">
        <v>1371</v>
      </c>
    </row>
    <row r="47" spans="1:16" ht="28.5" x14ac:dyDescent="0.2">
      <c r="A47" t="s">
        <v>1373</v>
      </c>
      <c r="B47" s="54" t="s">
        <v>1372</v>
      </c>
      <c r="C47" s="54" t="s">
        <v>518</v>
      </c>
      <c r="D47" s="56">
        <v>2178.2600000000002</v>
      </c>
      <c r="E47" s="81">
        <v>43040</v>
      </c>
      <c r="F47">
        <v>5</v>
      </c>
      <c r="G47" s="55">
        <v>1</v>
      </c>
      <c r="H47" s="56">
        <v>96876</v>
      </c>
      <c r="I47" s="56">
        <v>222815</v>
      </c>
      <c r="J47" s="57">
        <v>48534.875999999997</v>
      </c>
      <c r="K47" s="57">
        <f t="shared" si="0"/>
        <v>48534.875999999997</v>
      </c>
      <c r="O47" s="90" t="s">
        <v>1374</v>
      </c>
    </row>
    <row r="48" spans="1:16" x14ac:dyDescent="0.2">
      <c r="A48" t="s">
        <v>350</v>
      </c>
      <c r="B48" s="54" t="s">
        <v>403</v>
      </c>
      <c r="C48" s="54" t="s">
        <v>391</v>
      </c>
      <c r="D48" s="56">
        <v>5084</v>
      </c>
      <c r="E48" s="81">
        <v>43024</v>
      </c>
      <c r="F48">
        <v>4</v>
      </c>
      <c r="G48" s="55">
        <v>0.2</v>
      </c>
      <c r="H48" s="56">
        <v>71456</v>
      </c>
      <c r="I48" s="56">
        <v>95000</v>
      </c>
      <c r="J48" s="57">
        <v>48299</v>
      </c>
      <c r="K48" s="57">
        <f t="shared" si="0"/>
        <v>9659.8000000000011</v>
      </c>
      <c r="O48" s="90" t="s">
        <v>1375</v>
      </c>
    </row>
    <row r="49" spans="1:16" x14ac:dyDescent="0.2">
      <c r="A49" t="s">
        <v>362</v>
      </c>
      <c r="B49" s="54" t="s">
        <v>425</v>
      </c>
      <c r="C49" s="54" t="s">
        <v>549</v>
      </c>
      <c r="D49" s="56">
        <v>14246</v>
      </c>
      <c r="E49" s="81">
        <v>42969</v>
      </c>
      <c r="F49">
        <v>2</v>
      </c>
      <c r="G49" s="55">
        <v>0.25</v>
      </c>
      <c r="H49" s="56">
        <v>28054</v>
      </c>
      <c r="I49" s="56">
        <v>33664.800000000003</v>
      </c>
      <c r="J49" s="57">
        <v>47960</v>
      </c>
      <c r="K49" s="57">
        <f t="shared" si="0"/>
        <v>11990</v>
      </c>
      <c r="O49" s="90" t="s">
        <v>1376</v>
      </c>
    </row>
    <row r="50" spans="1:16" s="69" customFormat="1" x14ac:dyDescent="0.2">
      <c r="A50" t="s">
        <v>350</v>
      </c>
      <c r="B50" s="54" t="s">
        <v>1377</v>
      </c>
      <c r="C50" s="54" t="s">
        <v>472</v>
      </c>
      <c r="D50" s="56">
        <v>4655</v>
      </c>
      <c r="E50" s="81">
        <v>42969</v>
      </c>
      <c r="F50">
        <v>4</v>
      </c>
      <c r="G50" s="55">
        <v>0.19500000000000001</v>
      </c>
      <c r="H50" s="56">
        <v>49970</v>
      </c>
      <c r="I50" s="56">
        <v>99940</v>
      </c>
      <c r="J50" s="57">
        <v>46522</v>
      </c>
      <c r="K50" s="57">
        <f t="shared" si="0"/>
        <v>9071.7900000000009</v>
      </c>
      <c r="L50" s="57"/>
      <c r="M50" s="57"/>
      <c r="N50" s="57"/>
      <c r="O50" s="90" t="s">
        <v>1378</v>
      </c>
      <c r="P50"/>
    </row>
    <row r="51" spans="1:16" x14ac:dyDescent="0.2">
      <c r="A51" t="s">
        <v>420</v>
      </c>
      <c r="B51" s="54" t="s">
        <v>422</v>
      </c>
      <c r="C51" s="54" t="s">
        <v>491</v>
      </c>
      <c r="D51" s="56">
        <v>2100</v>
      </c>
      <c r="E51" s="83">
        <v>43096</v>
      </c>
      <c r="F51">
        <v>24</v>
      </c>
      <c r="G51" s="55">
        <v>0.49</v>
      </c>
      <c r="H51" s="56">
        <v>87972.37</v>
      </c>
      <c r="I51" s="56">
        <v>219938</v>
      </c>
      <c r="J51" s="57">
        <v>46186</v>
      </c>
      <c r="K51" s="57">
        <f t="shared" si="0"/>
        <v>22631.14</v>
      </c>
      <c r="O51" s="90" t="s">
        <v>1379</v>
      </c>
    </row>
    <row r="52" spans="1:16" x14ac:dyDescent="0.2">
      <c r="A52" t="s">
        <v>389</v>
      </c>
      <c r="B52" s="54" t="s">
        <v>401</v>
      </c>
      <c r="C52" s="54" t="s">
        <v>475</v>
      </c>
      <c r="D52" s="56">
        <v>2836.72</v>
      </c>
      <c r="E52" s="81">
        <v>43019</v>
      </c>
      <c r="F52">
        <v>2</v>
      </c>
      <c r="G52" s="55">
        <v>0.34</v>
      </c>
      <c r="H52" s="56">
        <v>62946</v>
      </c>
      <c r="I52" s="56">
        <v>157365</v>
      </c>
      <c r="J52" s="57">
        <v>44640</v>
      </c>
      <c r="K52" s="57">
        <f t="shared" si="0"/>
        <v>15177.6</v>
      </c>
      <c r="O52" s="90" t="s">
        <v>1380</v>
      </c>
    </row>
    <row r="53" spans="1:16" ht="28.5" x14ac:dyDescent="0.2">
      <c r="A53" t="s">
        <v>1381</v>
      </c>
      <c r="B53" s="54" t="s">
        <v>458</v>
      </c>
      <c r="C53" s="54" t="s">
        <v>502</v>
      </c>
      <c r="D53" s="56">
        <v>8045.37</v>
      </c>
      <c r="E53" s="82">
        <v>42865</v>
      </c>
      <c r="F53">
        <v>5</v>
      </c>
      <c r="G53" s="55">
        <v>1</v>
      </c>
      <c r="H53" s="56">
        <v>25198</v>
      </c>
      <c r="I53" s="56">
        <v>55435.6</v>
      </c>
      <c r="J53" s="57">
        <v>44600</v>
      </c>
      <c r="K53" s="57">
        <f t="shared" si="0"/>
        <v>44600</v>
      </c>
      <c r="O53" s="90" t="s">
        <v>1382</v>
      </c>
    </row>
    <row r="54" spans="1:16" ht="28.5" x14ac:dyDescent="0.2">
      <c r="A54" t="s">
        <v>1383</v>
      </c>
      <c r="B54" s="54" t="s">
        <v>1384</v>
      </c>
      <c r="C54" s="54" t="s">
        <v>471</v>
      </c>
      <c r="D54" s="56">
        <v>4200</v>
      </c>
      <c r="E54" s="81">
        <v>42934</v>
      </c>
      <c r="F54">
        <v>3</v>
      </c>
      <c r="G54" s="55">
        <v>1</v>
      </c>
      <c r="H54" s="56">
        <v>42340.21</v>
      </c>
      <c r="I54" s="56">
        <v>105850.53</v>
      </c>
      <c r="J54" s="57">
        <v>44457</v>
      </c>
      <c r="K54" s="57">
        <f t="shared" si="0"/>
        <v>44457</v>
      </c>
      <c r="O54" s="90" t="s">
        <v>1386</v>
      </c>
      <c r="P54" s="67" t="s">
        <v>1385</v>
      </c>
    </row>
    <row r="55" spans="1:16" ht="28.5" x14ac:dyDescent="0.2">
      <c r="A55" t="s">
        <v>366</v>
      </c>
      <c r="B55" s="54" t="s">
        <v>443</v>
      </c>
      <c r="C55" s="54" t="s">
        <v>501</v>
      </c>
      <c r="D55" s="56">
        <v>8377.61</v>
      </c>
      <c r="E55" s="82">
        <v>42865</v>
      </c>
      <c r="F55">
        <v>4</v>
      </c>
      <c r="G55" s="55">
        <v>1</v>
      </c>
      <c r="H55" s="56">
        <v>22633</v>
      </c>
      <c r="I55" s="56">
        <v>52282.23</v>
      </c>
      <c r="J55" s="57">
        <v>43800</v>
      </c>
      <c r="K55" s="57">
        <f t="shared" si="0"/>
        <v>43800</v>
      </c>
      <c r="O55" s="90" t="s">
        <v>1382</v>
      </c>
    </row>
    <row r="56" spans="1:16" x14ac:dyDescent="0.2">
      <c r="A56" t="s">
        <v>1387</v>
      </c>
      <c r="B56" s="54" t="s">
        <v>456</v>
      </c>
      <c r="C56" s="54" t="s">
        <v>497</v>
      </c>
      <c r="D56" s="56">
        <v>10299.89</v>
      </c>
      <c r="E56" s="81">
        <v>42822</v>
      </c>
      <c r="F56">
        <v>6</v>
      </c>
      <c r="G56" s="55">
        <v>0.11</v>
      </c>
      <c r="H56" s="56">
        <v>34628.199999999997</v>
      </c>
      <c r="I56" s="56">
        <v>41553.839999999997</v>
      </c>
      <c r="J56" s="57">
        <v>42800</v>
      </c>
      <c r="K56" s="57">
        <f t="shared" si="0"/>
        <v>4708</v>
      </c>
      <c r="O56" s="90" t="s">
        <v>1389</v>
      </c>
      <c r="P56" s="67" t="s">
        <v>1388</v>
      </c>
    </row>
    <row r="57" spans="1:16" s="199" customFormat="1" x14ac:dyDescent="0.2">
      <c r="A57" s="199" t="s">
        <v>1390</v>
      </c>
      <c r="B57" s="200" t="s">
        <v>436</v>
      </c>
      <c r="C57" s="200" t="s">
        <v>482</v>
      </c>
      <c r="D57" s="201">
        <v>900</v>
      </c>
      <c r="E57" s="202">
        <v>43042</v>
      </c>
      <c r="F57" s="199">
        <v>11</v>
      </c>
      <c r="G57" s="203">
        <v>1</v>
      </c>
      <c r="H57" s="201">
        <v>188600</v>
      </c>
      <c r="I57" s="201">
        <v>471500</v>
      </c>
      <c r="J57" s="204">
        <v>42450</v>
      </c>
      <c r="K57" s="204">
        <f t="shared" si="0"/>
        <v>42450</v>
      </c>
      <c r="L57" s="204"/>
      <c r="M57" s="204"/>
      <c r="N57" s="204"/>
      <c r="O57" s="205" t="s">
        <v>1391</v>
      </c>
    </row>
    <row r="58" spans="1:16" s="69" customFormat="1" x14ac:dyDescent="0.2">
      <c r="A58" t="s">
        <v>1153</v>
      </c>
      <c r="B58" s="54" t="s">
        <v>430</v>
      </c>
      <c r="C58" s="54" t="s">
        <v>1392</v>
      </c>
      <c r="D58" s="56">
        <v>1205</v>
      </c>
      <c r="E58" s="81">
        <v>43040</v>
      </c>
      <c r="F58">
        <v>2</v>
      </c>
      <c r="G58" s="55">
        <v>1</v>
      </c>
      <c r="H58" s="56">
        <v>117203</v>
      </c>
      <c r="I58" s="56">
        <v>351610</v>
      </c>
      <c r="J58" s="57">
        <v>42369</v>
      </c>
      <c r="K58" s="57">
        <f t="shared" si="0"/>
        <v>42369</v>
      </c>
      <c r="L58" s="57"/>
      <c r="M58" s="57"/>
      <c r="N58" s="57"/>
      <c r="O58" s="90" t="s">
        <v>1393</v>
      </c>
      <c r="P58"/>
    </row>
    <row r="59" spans="1:16" x14ac:dyDescent="0.2">
      <c r="A59" t="s">
        <v>1394</v>
      </c>
      <c r="B59" s="54" t="s">
        <v>439</v>
      </c>
      <c r="C59" s="54" t="s">
        <v>486</v>
      </c>
      <c r="D59" s="56">
        <v>3456.49</v>
      </c>
      <c r="E59" s="81">
        <v>43095</v>
      </c>
      <c r="F59">
        <v>17</v>
      </c>
      <c r="G59" s="55">
        <v>0.4</v>
      </c>
      <c r="H59" s="56">
        <v>61044.7</v>
      </c>
      <c r="I59" s="56">
        <v>122089</v>
      </c>
      <c r="J59" s="57">
        <v>42200</v>
      </c>
      <c r="K59" s="57">
        <f t="shared" si="0"/>
        <v>16880</v>
      </c>
      <c r="O59" s="90" t="s">
        <v>1396</v>
      </c>
      <c r="P59" s="67" t="s">
        <v>1395</v>
      </c>
    </row>
    <row r="60" spans="1:16" x14ac:dyDescent="0.2">
      <c r="A60" t="s">
        <v>1397</v>
      </c>
      <c r="B60" s="54" t="s">
        <v>493</v>
      </c>
      <c r="C60" s="54" t="s">
        <v>534</v>
      </c>
      <c r="D60" s="56">
        <v>4667</v>
      </c>
      <c r="E60" s="81">
        <v>42801</v>
      </c>
      <c r="F60">
        <v>1</v>
      </c>
      <c r="G60" s="55">
        <v>1</v>
      </c>
      <c r="H60" s="56">
        <v>58194</v>
      </c>
      <c r="I60" s="56">
        <v>87291</v>
      </c>
      <c r="J60" s="57">
        <v>40739</v>
      </c>
      <c r="K60" s="57">
        <f t="shared" si="0"/>
        <v>40739</v>
      </c>
      <c r="O60" s="90" t="s">
        <v>1398</v>
      </c>
    </row>
    <row r="61" spans="1:16" x14ac:dyDescent="0.2">
      <c r="A61" t="s">
        <v>1399</v>
      </c>
      <c r="B61" s="54" t="s">
        <v>447</v>
      </c>
      <c r="C61" s="54" t="s">
        <v>538</v>
      </c>
      <c r="D61" s="56">
        <v>6023.47</v>
      </c>
      <c r="E61" s="81">
        <v>42851</v>
      </c>
      <c r="F61">
        <v>5</v>
      </c>
      <c r="G61" s="55">
        <v>0.3</v>
      </c>
      <c r="H61" s="56">
        <v>36771</v>
      </c>
      <c r="I61" s="56">
        <v>66187.8</v>
      </c>
      <c r="J61" s="57">
        <v>39868</v>
      </c>
      <c r="K61" s="57">
        <f t="shared" si="0"/>
        <v>11960.4</v>
      </c>
      <c r="O61" s="90" t="s">
        <v>1400</v>
      </c>
      <c r="P61" s="67" t="s">
        <v>1401</v>
      </c>
    </row>
    <row r="62" spans="1:16" x14ac:dyDescent="0.2">
      <c r="A62" t="s">
        <v>1402</v>
      </c>
      <c r="B62" s="54" t="s">
        <v>451</v>
      </c>
      <c r="C62" s="54" t="s">
        <v>541</v>
      </c>
      <c r="D62" s="56">
        <v>6010</v>
      </c>
      <c r="E62" s="81">
        <v>42887</v>
      </c>
      <c r="F62">
        <v>1</v>
      </c>
      <c r="G62" s="55">
        <v>1</v>
      </c>
      <c r="H62" s="56">
        <v>45737</v>
      </c>
      <c r="I62" s="56">
        <v>63980</v>
      </c>
      <c r="J62" s="57">
        <v>38452</v>
      </c>
      <c r="K62" s="57">
        <f t="shared" si="0"/>
        <v>38452</v>
      </c>
      <c r="O62" s="90" t="s">
        <v>1404</v>
      </c>
      <c r="P62" s="67" t="s">
        <v>1403</v>
      </c>
    </row>
    <row r="63" spans="1:16" x14ac:dyDescent="0.2">
      <c r="A63" t="s">
        <v>1406</v>
      </c>
      <c r="B63" s="54" t="s">
        <v>1405</v>
      </c>
      <c r="C63" s="54" t="s">
        <v>513</v>
      </c>
      <c r="D63" s="56">
        <v>2331</v>
      </c>
      <c r="E63" s="81">
        <v>43006</v>
      </c>
      <c r="F63">
        <v>7</v>
      </c>
      <c r="G63" s="55">
        <v>0.25</v>
      </c>
      <c r="H63" s="56">
        <v>65068.6</v>
      </c>
      <c r="I63" s="56">
        <v>162671.5</v>
      </c>
      <c r="J63" s="57">
        <v>37914</v>
      </c>
      <c r="K63" s="57">
        <f t="shared" si="0"/>
        <v>9478.5</v>
      </c>
      <c r="O63" s="90" t="s">
        <v>1407</v>
      </c>
    </row>
    <row r="64" spans="1:16" x14ac:dyDescent="0.2">
      <c r="A64" t="s">
        <v>385</v>
      </c>
      <c r="B64" s="54" t="s">
        <v>387</v>
      </c>
      <c r="C64" s="54" t="s">
        <v>386</v>
      </c>
      <c r="D64" s="56">
        <v>2292.13</v>
      </c>
      <c r="E64" s="81">
        <v>43006</v>
      </c>
      <c r="F64">
        <v>8</v>
      </c>
      <c r="G64" s="55">
        <v>0.25</v>
      </c>
      <c r="H64" s="56">
        <v>65855.3</v>
      </c>
      <c r="I64" s="56">
        <v>164638.25</v>
      </c>
      <c r="J64" s="57">
        <v>37737.199999999997</v>
      </c>
      <c r="K64" s="57">
        <f t="shared" si="0"/>
        <v>9434.2999999999993</v>
      </c>
      <c r="O64" s="90" t="s">
        <v>1407</v>
      </c>
    </row>
    <row r="65" spans="1:16" x14ac:dyDescent="0.2">
      <c r="A65" t="s">
        <v>1399</v>
      </c>
      <c r="B65" s="54" t="s">
        <v>446</v>
      </c>
      <c r="C65" s="54" t="s">
        <v>539</v>
      </c>
      <c r="D65" s="56">
        <v>5805.52</v>
      </c>
      <c r="E65" s="81">
        <v>42851</v>
      </c>
      <c r="F65">
        <v>4</v>
      </c>
      <c r="G65" s="55">
        <v>0.25</v>
      </c>
      <c r="H65" s="56">
        <v>34805</v>
      </c>
      <c r="I65" s="56">
        <v>62649</v>
      </c>
      <c r="J65" s="57">
        <v>36371</v>
      </c>
      <c r="K65" s="57">
        <f t="shared" si="0"/>
        <v>9092.75</v>
      </c>
      <c r="O65" s="90" t="s">
        <v>1409</v>
      </c>
      <c r="P65" s="67" t="s">
        <v>1408</v>
      </c>
    </row>
    <row r="66" spans="1:16" x14ac:dyDescent="0.2">
      <c r="A66" t="s">
        <v>374</v>
      </c>
      <c r="B66" s="54" t="s">
        <v>506</v>
      </c>
      <c r="C66" s="54" t="s">
        <v>505</v>
      </c>
      <c r="D66" s="56">
        <v>2708.35</v>
      </c>
      <c r="E66" s="81">
        <v>42911</v>
      </c>
      <c r="F66">
        <v>8</v>
      </c>
      <c r="G66" s="55">
        <v>1</v>
      </c>
      <c r="H66" s="56">
        <v>66773.7</v>
      </c>
      <c r="I66" s="56">
        <v>133240</v>
      </c>
      <c r="J66" s="57">
        <v>36086</v>
      </c>
      <c r="K66" s="57">
        <f t="shared" ref="K66:K99" si="2">J66*G66</f>
        <v>36086</v>
      </c>
      <c r="O66" s="90" t="s">
        <v>1410</v>
      </c>
    </row>
    <row r="67" spans="1:16" ht="42.75" x14ac:dyDescent="0.2">
      <c r="A67" t="s">
        <v>554</v>
      </c>
      <c r="B67" s="54" t="s">
        <v>508</v>
      </c>
      <c r="C67" s="54" t="s">
        <v>507</v>
      </c>
      <c r="D67" s="56">
        <v>5222</v>
      </c>
      <c r="E67" s="81">
        <v>42937</v>
      </c>
      <c r="F67">
        <v>4</v>
      </c>
      <c r="G67" s="55">
        <v>1</v>
      </c>
      <c r="H67" s="56">
        <v>36740</v>
      </c>
      <c r="I67" s="56">
        <v>66132</v>
      </c>
      <c r="J67" s="57">
        <v>34536</v>
      </c>
      <c r="K67" s="57">
        <f t="shared" si="2"/>
        <v>34536</v>
      </c>
      <c r="O67" s="90" t="s">
        <v>1411</v>
      </c>
    </row>
    <row r="68" spans="1:16" x14ac:dyDescent="0.2">
      <c r="A68" t="s">
        <v>542</v>
      </c>
      <c r="B68" s="54" t="s">
        <v>372</v>
      </c>
      <c r="C68" s="54" t="s">
        <v>468</v>
      </c>
      <c r="D68" s="56">
        <v>5738</v>
      </c>
      <c r="E68" s="81">
        <v>42892</v>
      </c>
      <c r="F68">
        <v>3</v>
      </c>
      <c r="G68" s="55">
        <v>0.5</v>
      </c>
      <c r="H68" s="56">
        <v>33423.9</v>
      </c>
      <c r="I68" s="56">
        <v>60163.02</v>
      </c>
      <c r="J68" s="57">
        <v>34500</v>
      </c>
      <c r="K68" s="57">
        <f t="shared" si="2"/>
        <v>17250</v>
      </c>
      <c r="O68" s="90" t="s">
        <v>1413</v>
      </c>
      <c r="P68" s="67" t="s">
        <v>1412</v>
      </c>
    </row>
    <row r="69" spans="1:16" x14ac:dyDescent="0.2">
      <c r="A69" t="s">
        <v>1414</v>
      </c>
      <c r="B69" s="54" t="s">
        <v>432</v>
      </c>
      <c r="C69" s="54" t="s">
        <v>480</v>
      </c>
      <c r="D69" s="56">
        <v>4056</v>
      </c>
      <c r="E69" s="81">
        <v>43041</v>
      </c>
      <c r="F69">
        <v>7</v>
      </c>
      <c r="G69" s="55">
        <v>0.25</v>
      </c>
      <c r="H69" s="56">
        <v>33900</v>
      </c>
      <c r="I69" s="56">
        <v>84750</v>
      </c>
      <c r="J69" s="57">
        <v>34374.6</v>
      </c>
      <c r="K69" s="57">
        <f t="shared" si="2"/>
        <v>8593.65</v>
      </c>
      <c r="O69" s="90" t="s">
        <v>1416</v>
      </c>
      <c r="P69" s="67" t="s">
        <v>1415</v>
      </c>
    </row>
    <row r="70" spans="1:16" s="199" customFormat="1" ht="28.5" x14ac:dyDescent="0.2">
      <c r="A70" s="199" t="s">
        <v>1417</v>
      </c>
      <c r="B70" s="200" t="s">
        <v>435</v>
      </c>
      <c r="C70" s="200" t="s">
        <v>521</v>
      </c>
      <c r="D70" s="201">
        <v>2884.62</v>
      </c>
      <c r="E70" s="202">
        <v>43042</v>
      </c>
      <c r="F70" s="199">
        <v>10</v>
      </c>
      <c r="G70" s="203">
        <v>1</v>
      </c>
      <c r="H70" s="201">
        <v>44101.2</v>
      </c>
      <c r="I70" s="201">
        <v>114660</v>
      </c>
      <c r="J70" s="204">
        <v>33075</v>
      </c>
      <c r="K70" s="204">
        <f t="shared" si="2"/>
        <v>33075</v>
      </c>
      <c r="L70" s="204"/>
      <c r="M70" s="204"/>
      <c r="N70" s="204"/>
      <c r="O70" s="205" t="s">
        <v>1419</v>
      </c>
      <c r="P70" s="206" t="s">
        <v>1418</v>
      </c>
    </row>
    <row r="71" spans="1:16" x14ac:dyDescent="0.2">
      <c r="A71" t="s">
        <v>350</v>
      </c>
      <c r="B71" s="54" t="s">
        <v>1104</v>
      </c>
      <c r="C71" s="54" t="s">
        <v>530</v>
      </c>
      <c r="D71" s="56">
        <v>3015</v>
      </c>
      <c r="E71" s="81">
        <v>42767</v>
      </c>
      <c r="F71">
        <v>1</v>
      </c>
      <c r="G71" s="55">
        <v>1</v>
      </c>
      <c r="H71" s="56">
        <v>54549</v>
      </c>
      <c r="I71" s="56">
        <v>109098</v>
      </c>
      <c r="J71" s="57">
        <v>32893</v>
      </c>
      <c r="K71" s="57">
        <f t="shared" si="2"/>
        <v>32893</v>
      </c>
      <c r="O71" s="90" t="s">
        <v>1126</v>
      </c>
    </row>
    <row r="72" spans="1:16" x14ac:dyDescent="0.2">
      <c r="A72" t="s">
        <v>1420</v>
      </c>
      <c r="B72" s="54" t="s">
        <v>442</v>
      </c>
      <c r="C72" s="54" t="s">
        <v>503</v>
      </c>
      <c r="D72" s="56">
        <v>1038.42</v>
      </c>
      <c r="E72" s="81">
        <v>42870</v>
      </c>
      <c r="F72">
        <v>6</v>
      </c>
      <c r="G72" s="55">
        <v>1</v>
      </c>
      <c r="H72" s="56">
        <v>143793.60000000001</v>
      </c>
      <c r="I72" s="56">
        <v>316345.92</v>
      </c>
      <c r="J72" s="57">
        <v>32850</v>
      </c>
      <c r="K72" s="57">
        <f t="shared" si="2"/>
        <v>32850</v>
      </c>
      <c r="O72" s="90" t="s">
        <v>1421</v>
      </c>
    </row>
    <row r="73" spans="1:16" x14ac:dyDescent="0.2">
      <c r="A73" t="s">
        <v>420</v>
      </c>
      <c r="B73" s="54" t="s">
        <v>1422</v>
      </c>
      <c r="C73" s="54" t="s">
        <v>488</v>
      </c>
      <c r="D73" s="56">
        <v>1180</v>
      </c>
      <c r="E73" s="81">
        <v>43096</v>
      </c>
      <c r="F73">
        <v>21</v>
      </c>
      <c r="G73" s="55">
        <v>0.49</v>
      </c>
      <c r="H73" s="56">
        <v>79229.210000000006</v>
      </c>
      <c r="I73" s="56">
        <v>277620</v>
      </c>
      <c r="J73" s="57">
        <v>32746</v>
      </c>
      <c r="K73" s="57">
        <f t="shared" si="2"/>
        <v>16045.539999999999</v>
      </c>
      <c r="O73" s="90" t="s">
        <v>1379</v>
      </c>
    </row>
    <row r="74" spans="1:16" x14ac:dyDescent="0.2">
      <c r="A74" t="s">
        <v>554</v>
      </c>
      <c r="B74" s="54" t="s">
        <v>364</v>
      </c>
      <c r="C74" s="62">
        <v>20170601</v>
      </c>
      <c r="D74" s="56">
        <v>4952</v>
      </c>
      <c r="E74" s="81">
        <v>42856</v>
      </c>
      <c r="F74">
        <v>1</v>
      </c>
      <c r="G74" s="55">
        <v>0.33329999999999999</v>
      </c>
      <c r="H74" s="56">
        <v>29429</v>
      </c>
      <c r="I74" s="56">
        <v>64743.8</v>
      </c>
      <c r="J74" s="57">
        <v>32104</v>
      </c>
      <c r="K74" s="57">
        <f t="shared" si="2"/>
        <v>10700.263199999999</v>
      </c>
      <c r="O74" s="90" t="s">
        <v>1425</v>
      </c>
      <c r="P74" s="67" t="s">
        <v>1424</v>
      </c>
    </row>
    <row r="75" spans="1:16" x14ac:dyDescent="0.2">
      <c r="A75" t="s">
        <v>1426</v>
      </c>
      <c r="B75" s="54" t="s">
        <v>400</v>
      </c>
      <c r="C75" s="61" t="s">
        <v>474</v>
      </c>
      <c r="D75" s="56">
        <v>2307</v>
      </c>
      <c r="E75" s="81">
        <v>42995</v>
      </c>
      <c r="F75">
        <v>3</v>
      </c>
      <c r="G75" s="55">
        <v>1</v>
      </c>
      <c r="H75" s="56">
        <v>51834</v>
      </c>
      <c r="I75" s="56">
        <v>134768.4</v>
      </c>
      <c r="J75" s="57">
        <v>31095</v>
      </c>
      <c r="K75" s="57">
        <f t="shared" si="2"/>
        <v>31095</v>
      </c>
      <c r="O75" s="90" t="s">
        <v>1428</v>
      </c>
      <c r="P75" s="67" t="s">
        <v>1427</v>
      </c>
    </row>
    <row r="76" spans="1:16" ht="28.5" x14ac:dyDescent="0.2">
      <c r="A76" t="s">
        <v>1429</v>
      </c>
      <c r="B76" s="54" t="s">
        <v>492</v>
      </c>
      <c r="C76" s="54" t="s">
        <v>498</v>
      </c>
      <c r="D76" s="56">
        <v>3871.4</v>
      </c>
      <c r="E76" s="81">
        <v>42816</v>
      </c>
      <c r="F76">
        <v>5</v>
      </c>
      <c r="G76" s="55">
        <v>0.5</v>
      </c>
      <c r="H76" s="56">
        <v>49221.54</v>
      </c>
      <c r="I76" s="56">
        <v>78754.460000000006</v>
      </c>
      <c r="J76" s="57">
        <v>30489</v>
      </c>
      <c r="K76" s="57">
        <f t="shared" si="2"/>
        <v>15244.5</v>
      </c>
      <c r="O76" s="90" t="s">
        <v>1431</v>
      </c>
    </row>
    <row r="77" spans="1:16" x14ac:dyDescent="0.2">
      <c r="A77" t="s">
        <v>1432</v>
      </c>
      <c r="B77" s="54" t="s">
        <v>369</v>
      </c>
      <c r="C77" s="54" t="s">
        <v>466</v>
      </c>
      <c r="D77" s="56">
        <v>7825.24</v>
      </c>
      <c r="E77" s="81">
        <v>42878</v>
      </c>
      <c r="F77">
        <v>9</v>
      </c>
      <c r="G77" s="55">
        <v>0.33400000000000002</v>
      </c>
      <c r="H77" s="56">
        <v>37348</v>
      </c>
      <c r="I77" s="56">
        <v>38468.44</v>
      </c>
      <c r="J77" s="57">
        <v>30102</v>
      </c>
      <c r="K77" s="57">
        <f t="shared" si="2"/>
        <v>10054.068000000001</v>
      </c>
      <c r="O77" s="90" t="s">
        <v>1434</v>
      </c>
      <c r="P77" s="67" t="s">
        <v>1433</v>
      </c>
    </row>
    <row r="78" spans="1:16" ht="28.5" x14ac:dyDescent="0.2">
      <c r="A78" t="s">
        <v>1435</v>
      </c>
      <c r="B78" s="54" t="s">
        <v>415</v>
      </c>
      <c r="C78" s="54" t="s">
        <v>477</v>
      </c>
      <c r="D78" s="56">
        <v>7450</v>
      </c>
      <c r="E78" s="81">
        <v>43029</v>
      </c>
      <c r="F78">
        <v>11</v>
      </c>
      <c r="G78" s="55">
        <v>1</v>
      </c>
      <c r="H78" s="56">
        <v>20174.7</v>
      </c>
      <c r="I78" s="56">
        <v>40349.4</v>
      </c>
      <c r="J78" s="57">
        <v>30000</v>
      </c>
      <c r="K78" s="57">
        <f t="shared" si="2"/>
        <v>30000</v>
      </c>
      <c r="O78" s="90" t="s">
        <v>1436</v>
      </c>
    </row>
    <row r="79" spans="1:16" x14ac:dyDescent="0.2">
      <c r="A79" t="s">
        <v>1429</v>
      </c>
      <c r="B79" s="54" t="s">
        <v>376</v>
      </c>
      <c r="C79" s="54" t="s">
        <v>375</v>
      </c>
      <c r="D79" s="56">
        <v>4309.38</v>
      </c>
      <c r="E79" s="81">
        <v>42916</v>
      </c>
      <c r="F79">
        <v>10</v>
      </c>
      <c r="G79" s="55">
        <v>0.13300000000000001</v>
      </c>
      <c r="H79" s="56">
        <v>34800.800000000003</v>
      </c>
      <c r="I79" s="56">
        <v>69601.600000000006</v>
      </c>
      <c r="J79" s="57">
        <v>29994</v>
      </c>
      <c r="K79" s="57">
        <f t="shared" si="2"/>
        <v>3989.2020000000002</v>
      </c>
      <c r="O79" s="90" t="s">
        <v>1438</v>
      </c>
      <c r="P79" s="67" t="s">
        <v>1437</v>
      </c>
    </row>
    <row r="80" spans="1:16" x14ac:dyDescent="0.2">
      <c r="A80" t="s">
        <v>420</v>
      </c>
      <c r="B80" s="54" t="s">
        <v>421</v>
      </c>
      <c r="C80" s="54" t="s">
        <v>490</v>
      </c>
      <c r="D80" s="56">
        <v>2118</v>
      </c>
      <c r="E80" s="81">
        <v>43096</v>
      </c>
      <c r="F80">
        <v>23</v>
      </c>
      <c r="G80" s="55">
        <v>0.49</v>
      </c>
      <c r="H80" s="56">
        <v>55530.69</v>
      </c>
      <c r="I80" s="56">
        <v>138820</v>
      </c>
      <c r="J80" s="57">
        <v>29401.37</v>
      </c>
      <c r="K80" s="57">
        <f t="shared" si="2"/>
        <v>14406.6713</v>
      </c>
      <c r="O80" s="90" t="s">
        <v>1379</v>
      </c>
    </row>
    <row r="81" spans="1:16" x14ac:dyDescent="0.2">
      <c r="A81" t="s">
        <v>398</v>
      </c>
      <c r="B81" s="54" t="s">
        <v>409</v>
      </c>
      <c r="C81" s="54" t="s">
        <v>479</v>
      </c>
      <c r="D81" s="56">
        <v>4791.5600000000004</v>
      </c>
      <c r="E81" s="81">
        <v>43036</v>
      </c>
      <c r="F81">
        <v>16</v>
      </c>
      <c r="G81" s="55">
        <v>0.37</v>
      </c>
      <c r="H81" s="56">
        <v>39984</v>
      </c>
      <c r="I81" s="56">
        <v>55977.599999999999</v>
      </c>
      <c r="J81" s="57">
        <v>26822</v>
      </c>
      <c r="K81" s="57">
        <f t="shared" si="2"/>
        <v>9924.14</v>
      </c>
      <c r="O81" s="90" t="s">
        <v>1440</v>
      </c>
      <c r="P81" s="67" t="s">
        <v>1439</v>
      </c>
    </row>
    <row r="82" spans="1:16" x14ac:dyDescent="0.2">
      <c r="A82" t="s">
        <v>1441</v>
      </c>
      <c r="B82" s="54" t="s">
        <v>394</v>
      </c>
      <c r="C82" s="54" t="s">
        <v>346</v>
      </c>
      <c r="D82" s="56">
        <v>5449</v>
      </c>
      <c r="E82" s="81">
        <v>43026</v>
      </c>
      <c r="F82">
        <v>6</v>
      </c>
      <c r="G82" s="55">
        <v>0.33</v>
      </c>
      <c r="H82" s="56">
        <v>27484.400000000001</v>
      </c>
      <c r="I82" s="56">
        <v>46723.48</v>
      </c>
      <c r="J82" s="57">
        <v>25459</v>
      </c>
      <c r="K82" s="57">
        <f t="shared" si="2"/>
        <v>8401.4700000000012</v>
      </c>
      <c r="O82" s="90" t="s">
        <v>1442</v>
      </c>
    </row>
    <row r="83" spans="1:16" x14ac:dyDescent="0.2">
      <c r="A83" t="s">
        <v>1443</v>
      </c>
      <c r="B83" s="54" t="s">
        <v>438</v>
      </c>
      <c r="C83" s="54" t="s">
        <v>483</v>
      </c>
      <c r="D83" s="56">
        <v>2372.98</v>
      </c>
      <c r="E83" s="81">
        <v>43094</v>
      </c>
      <c r="F83">
        <v>13</v>
      </c>
      <c r="G83" s="55">
        <v>1</v>
      </c>
      <c r="H83" s="56">
        <v>51116</v>
      </c>
      <c r="I83" s="56">
        <v>102232</v>
      </c>
      <c r="J83" s="57">
        <v>24259.48</v>
      </c>
      <c r="K83" s="57">
        <f t="shared" si="2"/>
        <v>24259.48</v>
      </c>
      <c r="O83" s="90" t="s">
        <v>1446</v>
      </c>
      <c r="P83" s="67" t="s">
        <v>1445</v>
      </c>
    </row>
    <row r="84" spans="1:16" x14ac:dyDescent="0.2">
      <c r="A84" t="s">
        <v>1454</v>
      </c>
      <c r="B84" s="54" t="s">
        <v>379</v>
      </c>
      <c r="C84" s="54" t="s">
        <v>547</v>
      </c>
      <c r="D84" s="56">
        <v>3136</v>
      </c>
      <c r="E84" s="81">
        <v>42933</v>
      </c>
      <c r="F84">
        <v>2</v>
      </c>
      <c r="G84" s="55">
        <v>0.55000000000000004</v>
      </c>
      <c r="H84" s="56">
        <v>42431</v>
      </c>
      <c r="I84" s="56">
        <v>75951</v>
      </c>
      <c r="J84" s="57">
        <v>23817</v>
      </c>
      <c r="K84" s="57">
        <f t="shared" si="2"/>
        <v>13099.35</v>
      </c>
      <c r="O84" s="90" t="s">
        <v>1455</v>
      </c>
    </row>
    <row r="85" spans="1:16" s="199" customFormat="1" x14ac:dyDescent="0.2">
      <c r="A85" s="199" t="s">
        <v>1432</v>
      </c>
      <c r="B85" s="200" t="s">
        <v>368</v>
      </c>
      <c r="C85" s="200" t="s">
        <v>380</v>
      </c>
      <c r="D85" s="201">
        <v>7104.76</v>
      </c>
      <c r="E85" s="202">
        <v>42878</v>
      </c>
      <c r="F85" s="199">
        <v>8</v>
      </c>
      <c r="G85" s="203">
        <v>0.33300000000000002</v>
      </c>
      <c r="H85" s="201">
        <v>31333</v>
      </c>
      <c r="I85" s="201">
        <v>32899.65</v>
      </c>
      <c r="J85" s="204">
        <v>23374</v>
      </c>
      <c r="K85" s="204">
        <f t="shared" si="2"/>
        <v>7783.5420000000004</v>
      </c>
      <c r="L85" s="204"/>
      <c r="M85" s="204"/>
      <c r="N85" s="204"/>
      <c r="O85" s="205" t="s">
        <v>1456</v>
      </c>
    </row>
    <row r="86" spans="1:16" x14ac:dyDescent="0.2">
      <c r="A86" t="s">
        <v>1457</v>
      </c>
      <c r="B86" s="54" t="s">
        <v>402</v>
      </c>
      <c r="C86" s="54" t="s">
        <v>514</v>
      </c>
      <c r="D86" s="56">
        <v>2714.02</v>
      </c>
      <c r="E86" s="81">
        <v>43020</v>
      </c>
      <c r="F86">
        <v>3</v>
      </c>
      <c r="G86" s="55">
        <v>1</v>
      </c>
      <c r="H86" s="56">
        <v>69389</v>
      </c>
      <c r="I86" s="56">
        <v>84185</v>
      </c>
      <c r="J86" s="57">
        <v>22848</v>
      </c>
      <c r="K86" s="57">
        <f t="shared" si="2"/>
        <v>22848</v>
      </c>
      <c r="O86" s="90" t="s">
        <v>1458</v>
      </c>
    </row>
    <row r="87" spans="1:16" x14ac:dyDescent="0.2">
      <c r="A87" t="s">
        <v>410</v>
      </c>
      <c r="B87" s="54" t="s">
        <v>465</v>
      </c>
      <c r="C87" s="54" t="s">
        <v>412</v>
      </c>
      <c r="D87" s="56">
        <v>1505</v>
      </c>
      <c r="E87" s="81">
        <v>43040</v>
      </c>
      <c r="F87">
        <v>4</v>
      </c>
      <c r="G87" s="55">
        <v>1</v>
      </c>
      <c r="H87" s="56">
        <v>66093</v>
      </c>
      <c r="I87" s="56">
        <v>132186</v>
      </c>
      <c r="J87" s="57">
        <v>19893.990000000002</v>
      </c>
      <c r="K87" s="57">
        <f t="shared" si="2"/>
        <v>19893.990000000002</v>
      </c>
      <c r="O87" s="90" t="s">
        <v>1451</v>
      </c>
    </row>
    <row r="88" spans="1:16" x14ac:dyDescent="0.2">
      <c r="A88" t="s">
        <v>1459</v>
      </c>
      <c r="B88" s="54" t="s">
        <v>428</v>
      </c>
      <c r="C88" s="54" t="s">
        <v>516</v>
      </c>
      <c r="D88" s="56">
        <v>3550</v>
      </c>
      <c r="E88" s="81">
        <v>43034</v>
      </c>
      <c r="F88">
        <v>15</v>
      </c>
      <c r="G88" s="55">
        <v>1</v>
      </c>
      <c r="H88" s="56">
        <v>29652</v>
      </c>
      <c r="I88" s="56">
        <v>53373</v>
      </c>
      <c r="J88" s="57">
        <v>18947.400000000001</v>
      </c>
      <c r="K88" s="57">
        <f t="shared" si="2"/>
        <v>18947.400000000001</v>
      </c>
      <c r="O88" s="90" t="s">
        <v>1380</v>
      </c>
    </row>
    <row r="89" spans="1:16" x14ac:dyDescent="0.2">
      <c r="A89" t="s">
        <v>1460</v>
      </c>
      <c r="B89" s="54" t="s">
        <v>388</v>
      </c>
      <c r="C89" s="54" t="s">
        <v>461</v>
      </c>
      <c r="D89" s="56">
        <v>1275</v>
      </c>
      <c r="E89" s="81">
        <v>43006</v>
      </c>
      <c r="F89">
        <v>9</v>
      </c>
      <c r="G89" s="55">
        <v>0.3</v>
      </c>
      <c r="H89" s="56">
        <v>64933</v>
      </c>
      <c r="I89" s="56">
        <v>129866</v>
      </c>
      <c r="J89" s="57">
        <v>16558</v>
      </c>
      <c r="K89" s="57">
        <f t="shared" si="2"/>
        <v>4967.3999999999996</v>
      </c>
      <c r="O89" s="90" t="s">
        <v>1461</v>
      </c>
    </row>
    <row r="90" spans="1:16" x14ac:dyDescent="0.2">
      <c r="A90" t="s">
        <v>1420</v>
      </c>
      <c r="B90" s="54" t="s">
        <v>449</v>
      </c>
      <c r="C90" s="54" t="s">
        <v>450</v>
      </c>
      <c r="D90" s="56">
        <v>1001.26</v>
      </c>
      <c r="E90" s="81">
        <v>42870</v>
      </c>
      <c r="F90">
        <v>7</v>
      </c>
      <c r="G90" s="55">
        <v>1</v>
      </c>
      <c r="H90" s="56">
        <v>82466.3</v>
      </c>
      <c r="I90" s="56">
        <v>164932.6</v>
      </c>
      <c r="J90" s="57">
        <v>16514</v>
      </c>
      <c r="K90" s="57">
        <f t="shared" si="2"/>
        <v>16514</v>
      </c>
      <c r="O90" s="90" t="s">
        <v>1462</v>
      </c>
      <c r="P90" s="67" t="s">
        <v>1463</v>
      </c>
    </row>
    <row r="91" spans="1:16" x14ac:dyDescent="0.2">
      <c r="A91" s="90" t="s">
        <v>1464</v>
      </c>
      <c r="B91" s="54" t="s">
        <v>441</v>
      </c>
      <c r="C91" s="54" t="s">
        <v>469</v>
      </c>
      <c r="D91" s="56">
        <v>7075</v>
      </c>
      <c r="E91" s="81">
        <v>42901</v>
      </c>
      <c r="F91">
        <v>5</v>
      </c>
      <c r="G91" s="55">
        <v>1</v>
      </c>
      <c r="H91" s="56">
        <v>10953.3</v>
      </c>
      <c r="I91" s="56">
        <v>21906.799999999999</v>
      </c>
      <c r="J91" s="57">
        <v>15500</v>
      </c>
      <c r="K91" s="57">
        <f t="shared" si="2"/>
        <v>15500</v>
      </c>
      <c r="O91" s="90"/>
    </row>
    <row r="92" spans="1:16" x14ac:dyDescent="0.2">
      <c r="A92" t="s">
        <v>1426</v>
      </c>
      <c r="B92" s="54" t="s">
        <v>1430</v>
      </c>
      <c r="C92" s="54" t="s">
        <v>473</v>
      </c>
      <c r="D92" s="56">
        <v>1593</v>
      </c>
      <c r="E92" s="81">
        <v>42969</v>
      </c>
      <c r="F92">
        <v>5</v>
      </c>
      <c r="G92" s="55">
        <v>0.25</v>
      </c>
      <c r="H92" s="56">
        <v>31599</v>
      </c>
      <c r="I92" s="56">
        <v>94790</v>
      </c>
      <c r="J92" s="57">
        <v>15095.7</v>
      </c>
      <c r="K92" s="57">
        <f t="shared" si="2"/>
        <v>3773.9250000000002</v>
      </c>
      <c r="O92" s="90"/>
    </row>
    <row r="93" spans="1:16" x14ac:dyDescent="0.2">
      <c r="A93" t="s">
        <v>1414</v>
      </c>
      <c r="B93" s="54" t="s">
        <v>434</v>
      </c>
      <c r="C93" s="54" t="s">
        <v>481</v>
      </c>
      <c r="D93" s="56">
        <v>2092.3200000000002</v>
      </c>
      <c r="E93" s="81">
        <v>43042</v>
      </c>
      <c r="F93">
        <v>9</v>
      </c>
      <c r="G93" s="55">
        <v>1</v>
      </c>
      <c r="H93" s="56">
        <v>36642</v>
      </c>
      <c r="I93" s="56">
        <v>65955.600000000006</v>
      </c>
      <c r="J93" s="57">
        <v>13800</v>
      </c>
      <c r="K93" s="57">
        <f t="shared" si="2"/>
        <v>13800</v>
      </c>
      <c r="O93" s="90" t="s">
        <v>1732</v>
      </c>
      <c r="P93" s="67" t="s">
        <v>1465</v>
      </c>
    </row>
    <row r="94" spans="1:16" s="199" customFormat="1" x14ac:dyDescent="0.2">
      <c r="A94" s="199" t="s">
        <v>1452</v>
      </c>
      <c r="B94" s="200" t="s">
        <v>452</v>
      </c>
      <c r="C94" s="200" t="s">
        <v>467</v>
      </c>
      <c r="D94" s="201">
        <v>2505</v>
      </c>
      <c r="E94" s="202">
        <v>42891</v>
      </c>
      <c r="F94" s="199">
        <v>2</v>
      </c>
      <c r="G94" s="203">
        <v>1</v>
      </c>
      <c r="H94" s="201">
        <v>19125.2</v>
      </c>
      <c r="I94" s="201">
        <v>47813</v>
      </c>
      <c r="J94" s="204">
        <v>12000</v>
      </c>
      <c r="K94" s="204">
        <f t="shared" si="2"/>
        <v>12000</v>
      </c>
      <c r="L94" s="204"/>
      <c r="M94" s="204"/>
      <c r="N94" s="204"/>
      <c r="O94" s="205" t="s">
        <v>1453</v>
      </c>
    </row>
    <row r="95" spans="1:16" s="154" customFormat="1" x14ac:dyDescent="0.2">
      <c r="A95" t="s">
        <v>417</v>
      </c>
      <c r="B95" s="54" t="s">
        <v>418</v>
      </c>
      <c r="C95" s="54" t="s">
        <v>348</v>
      </c>
      <c r="D95" s="56">
        <v>1861.58</v>
      </c>
      <c r="E95" s="81">
        <v>43094</v>
      </c>
      <c r="F95">
        <v>14</v>
      </c>
      <c r="G95" s="55">
        <v>1</v>
      </c>
      <c r="H95" s="56">
        <v>37567</v>
      </c>
      <c r="I95" s="56">
        <v>60107.199999999997</v>
      </c>
      <c r="J95" s="57">
        <v>11189.45</v>
      </c>
      <c r="K95" s="57">
        <f t="shared" si="2"/>
        <v>11189.45</v>
      </c>
      <c r="L95" s="57"/>
      <c r="M95" s="57"/>
      <c r="N95" s="57"/>
      <c r="O95" s="90" t="s">
        <v>1444</v>
      </c>
      <c r="P95" s="67" t="s">
        <v>1445</v>
      </c>
    </row>
    <row r="96" spans="1:16" x14ac:dyDescent="0.2">
      <c r="A96" t="s">
        <v>1449</v>
      </c>
      <c r="B96" s="54" t="s">
        <v>464</v>
      </c>
      <c r="C96" s="54" t="s">
        <v>411</v>
      </c>
      <c r="D96" s="56">
        <v>1505</v>
      </c>
      <c r="E96" s="81">
        <v>43040</v>
      </c>
      <c r="F96">
        <v>3</v>
      </c>
      <c r="G96" s="55">
        <v>1</v>
      </c>
      <c r="H96" s="56">
        <v>36997</v>
      </c>
      <c r="I96" s="56">
        <v>73994</v>
      </c>
      <c r="J96" s="57">
        <v>11136.1</v>
      </c>
      <c r="K96" s="57">
        <f t="shared" si="2"/>
        <v>11136.1</v>
      </c>
      <c r="O96" s="90" t="s">
        <v>1450</v>
      </c>
    </row>
    <row r="97" spans="1:16" ht="28.5" x14ac:dyDescent="0.2">
      <c r="A97" t="s">
        <v>1447</v>
      </c>
      <c r="B97" s="54" t="s">
        <v>427</v>
      </c>
      <c r="C97" s="54" t="s">
        <v>510</v>
      </c>
      <c r="D97" s="56">
        <v>1365.05</v>
      </c>
      <c r="E97" s="81">
        <v>42986</v>
      </c>
      <c r="F97">
        <v>1</v>
      </c>
      <c r="G97" s="55">
        <v>0.5</v>
      </c>
      <c r="H97" s="56">
        <v>29959</v>
      </c>
      <c r="I97" s="56">
        <v>65909.8</v>
      </c>
      <c r="J97" s="57">
        <v>8997</v>
      </c>
      <c r="K97" s="57">
        <f t="shared" si="2"/>
        <v>4498.5</v>
      </c>
      <c r="O97" s="90" t="s">
        <v>1448</v>
      </c>
    </row>
    <row r="98" spans="1:16" x14ac:dyDescent="0.2">
      <c r="A98" t="s">
        <v>417</v>
      </c>
      <c r="B98" s="54" t="s">
        <v>418</v>
      </c>
      <c r="C98" s="54" t="s">
        <v>484</v>
      </c>
      <c r="D98" s="56">
        <v>2608.1</v>
      </c>
      <c r="E98" s="81">
        <v>43094</v>
      </c>
      <c r="F98">
        <v>15</v>
      </c>
      <c r="G98" s="55">
        <v>1</v>
      </c>
      <c r="H98" s="56">
        <v>22041</v>
      </c>
      <c r="I98" s="56">
        <v>33061.5</v>
      </c>
      <c r="J98" s="57">
        <v>8622.77</v>
      </c>
      <c r="K98" s="57">
        <f t="shared" si="2"/>
        <v>8622.77</v>
      </c>
      <c r="O98" s="90" t="s">
        <v>1444</v>
      </c>
      <c r="P98" s="67" t="s">
        <v>1445</v>
      </c>
    </row>
    <row r="99" spans="1:16" x14ac:dyDescent="0.2">
      <c r="A99" t="s">
        <v>357</v>
      </c>
      <c r="B99" s="54" t="s">
        <v>358</v>
      </c>
      <c r="C99" s="54" t="s">
        <v>457</v>
      </c>
      <c r="E99" s="81">
        <v>42825</v>
      </c>
      <c r="F99">
        <v>8</v>
      </c>
      <c r="H99" s="56">
        <v>65893</v>
      </c>
      <c r="I99" s="56">
        <v>98839.5</v>
      </c>
      <c r="K99" s="57">
        <f t="shared" si="2"/>
        <v>0</v>
      </c>
      <c r="O99" s="90" t="s">
        <v>1164</v>
      </c>
    </row>
  </sheetData>
  <autoFilter ref="A1:P99" xr:uid="{F974DEC9-5356-4197-AB33-9FD882379752}">
    <sortState xmlns:xlrd2="http://schemas.microsoft.com/office/spreadsheetml/2017/richdata2" ref="A2:P99">
      <sortCondition descending="1" ref="J1"/>
    </sortState>
  </autoFilter>
  <phoneticPr fontId="5" type="noConversion"/>
  <hyperlinks>
    <hyperlink ref="P34" r:id="rId1" xr:uid="{45261773-1D51-48B2-8AA8-A19305C68D04}"/>
    <hyperlink ref="P17" r:id="rId2" xr:uid="{85367C55-23BD-474A-A54D-5996C4CEDF0A}"/>
    <hyperlink ref="P33" r:id="rId3" xr:uid="{02B699D0-9B4A-4372-B881-AB33F2602071}"/>
    <hyperlink ref="P2" r:id="rId4" xr:uid="{EF214EA2-8DD5-4F9F-976D-48F54DE52B31}"/>
    <hyperlink ref="P3" r:id="rId5" xr:uid="{D2A153D1-C155-48B3-B36D-D03CF3DFA1EF}"/>
    <hyperlink ref="P4" r:id="rId6" xr:uid="{944C243F-940B-4999-A916-1C704CF8C3D9}"/>
    <hyperlink ref="P5" r:id="rId7" xr:uid="{4847EC89-9625-4280-9A34-11C0DC7779C6}"/>
    <hyperlink ref="P8" r:id="rId8" xr:uid="{D6337A65-821B-4588-800C-629D834FA35E}"/>
    <hyperlink ref="P10" r:id="rId9" xr:uid="{1009AB26-1BA9-4BA9-B8E7-74AC258193FC}"/>
    <hyperlink ref="P11" r:id="rId10" xr:uid="{F3837B09-2373-4BD2-A82E-C9F58094FB81}"/>
    <hyperlink ref="P12" r:id="rId11" xr:uid="{DD102A0D-6E9C-41D9-8E54-4DAF7EDD04A6}"/>
    <hyperlink ref="P15" r:id="rId12" xr:uid="{71D4CD7D-7953-41F5-8B52-B57A8D41400D}"/>
    <hyperlink ref="P18" r:id="rId13" xr:uid="{DA759C54-75E3-4817-B821-91CE604DDA61}"/>
    <hyperlink ref="P19" r:id="rId14" xr:uid="{5FC7835B-340A-43AC-9664-655DE65E168F}"/>
    <hyperlink ref="P20" r:id="rId15" xr:uid="{C82F236D-8481-4825-8ECB-7F731B8B421E}"/>
    <hyperlink ref="P24" r:id="rId16" xr:uid="{B604CC6E-5A0B-4AE4-9A68-D062DC7687EB}"/>
    <hyperlink ref="P29" r:id="rId17" xr:uid="{F9BB1AFE-5B27-4F45-A979-920EC10F8B94}"/>
    <hyperlink ref="P30" r:id="rId18" xr:uid="{2D712132-31C0-43EF-A2E4-0C7407EE30A9}"/>
    <hyperlink ref="P32" r:id="rId19" xr:uid="{F78E0155-FBBE-416A-9076-F6DAED5C40D7}"/>
    <hyperlink ref="P35" r:id="rId20" xr:uid="{5342E85C-E4F4-4519-817C-1DADC052549D}"/>
    <hyperlink ref="P36" r:id="rId21" xr:uid="{C153C159-985F-4822-9BF7-5C69E98E1C20}"/>
    <hyperlink ref="P38" r:id="rId22" xr:uid="{98C96EA4-E788-4CD8-AEBA-8BE31E5E99D9}"/>
    <hyperlink ref="P41" r:id="rId23" xr:uid="{BC74064E-F201-4862-98D3-00416D56B93B}"/>
    <hyperlink ref="P42" r:id="rId24" xr:uid="{A922E242-BE5E-4C5A-997E-C12CCF944D37}"/>
    <hyperlink ref="P43" r:id="rId25" xr:uid="{C4F598DB-D8FE-4839-A261-C45B68F7099E}"/>
    <hyperlink ref="P44" r:id="rId26" xr:uid="{ADA216ED-CC30-4207-B9A2-2AA2EC8261DF}"/>
    <hyperlink ref="P54" r:id="rId27" xr:uid="{98EDA7D9-21B6-4048-A454-9F6DBB2196C3}"/>
    <hyperlink ref="P56" r:id="rId28" xr:uid="{50F729D4-13D7-4DE3-B284-FD6E172DF8FD}"/>
    <hyperlink ref="P59" r:id="rId29" xr:uid="{F7ADA667-D066-497A-AD70-11F943186416}"/>
    <hyperlink ref="P61" r:id="rId30" xr:uid="{88A3A657-6870-46E9-8C77-48AE905F7AEF}"/>
    <hyperlink ref="P62" r:id="rId31" xr:uid="{56E9DCDA-2277-4B43-85AA-F9F10CB11537}"/>
    <hyperlink ref="P65" r:id="rId32" xr:uid="{6218CED7-391B-40E0-91FC-40C01254536A}"/>
    <hyperlink ref="P68" r:id="rId33" xr:uid="{FD025B54-A03D-4AC3-8137-8E7BF000B4A1}"/>
    <hyperlink ref="P69" r:id="rId34" xr:uid="{EFAEB3C7-AF3D-443E-A67B-3A98475C6D57}"/>
    <hyperlink ref="P70" r:id="rId35" xr:uid="{D08B80FA-A586-4D87-B789-6ABA6C0F070B}"/>
    <hyperlink ref="P74" r:id="rId36" xr:uid="{0441E58F-5A11-4C06-B9CD-F11F59B1B0A2}"/>
    <hyperlink ref="P75" r:id="rId37" xr:uid="{90AC2A9B-6A1F-44FE-9D5C-98A1AC0D7E6F}"/>
    <hyperlink ref="P77" r:id="rId38" xr:uid="{7EC06598-2B83-4474-9EE0-21C2B133546A}"/>
    <hyperlink ref="P79" r:id="rId39" xr:uid="{EB747704-79D3-4F70-A0E0-E1C5435CA079}"/>
    <hyperlink ref="P81" r:id="rId40" xr:uid="{FEEBBB14-2C33-4718-97E6-F753E63057C2}"/>
    <hyperlink ref="P83" r:id="rId41" xr:uid="{A5CEB9B3-B9D0-467A-ABCB-F29F0222A6AB}"/>
    <hyperlink ref="P95" r:id="rId42" xr:uid="{D8967752-1703-4892-B67A-F186C3664FB7}"/>
    <hyperlink ref="P98" r:id="rId43" xr:uid="{D03CEC01-68D8-4666-BCFF-1ECE68F3EC62}"/>
    <hyperlink ref="P90" r:id="rId44" xr:uid="{545495F1-4858-4B09-8296-8DB49A399C43}"/>
    <hyperlink ref="P93" r:id="rId45" xr:uid="{297D46DE-AFC1-4CEB-9692-07BE3C1BF748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4C8-AED3-4DF9-9091-3988E999C425}">
  <dimension ref="A1:E17"/>
  <sheetViews>
    <sheetView workbookViewId="0">
      <selection activeCell="E22" sqref="E22"/>
    </sheetView>
  </sheetViews>
  <sheetFormatPr defaultRowHeight="14.25" x14ac:dyDescent="0.2"/>
  <cols>
    <col min="1" max="1" width="15.5" customWidth="1"/>
    <col min="2" max="2" width="11.625" bestFit="1" customWidth="1"/>
    <col min="4" max="4" width="16.25" customWidth="1"/>
  </cols>
  <sheetData>
    <row r="1" spans="1:5" x14ac:dyDescent="0.2">
      <c r="A1" t="s">
        <v>841</v>
      </c>
      <c r="D1" t="s">
        <v>842</v>
      </c>
    </row>
    <row r="2" spans="1:5" x14ac:dyDescent="0.2">
      <c r="A2" t="s">
        <v>814</v>
      </c>
      <c r="B2">
        <v>16490</v>
      </c>
      <c r="D2" t="s">
        <v>814</v>
      </c>
      <c r="E2">
        <v>16490</v>
      </c>
    </row>
    <row r="3" spans="1:5" x14ac:dyDescent="0.2">
      <c r="A3" t="s">
        <v>815</v>
      </c>
      <c r="B3" s="72">
        <v>0.16</v>
      </c>
      <c r="D3" t="s">
        <v>816</v>
      </c>
      <c r="E3">
        <v>22000</v>
      </c>
    </row>
    <row r="4" spans="1:5" x14ac:dyDescent="0.2">
      <c r="A4" t="s">
        <v>816</v>
      </c>
      <c r="B4">
        <v>22000</v>
      </c>
      <c r="D4" t="s">
        <v>817</v>
      </c>
      <c r="E4">
        <v>3000</v>
      </c>
    </row>
    <row r="5" spans="1:5" x14ac:dyDescent="0.2">
      <c r="A5" t="s">
        <v>817</v>
      </c>
      <c r="B5">
        <v>3000</v>
      </c>
      <c r="D5" t="s">
        <v>818</v>
      </c>
      <c r="E5">
        <v>72362.600000000006</v>
      </c>
    </row>
    <row r="6" spans="1:5" x14ac:dyDescent="0.2">
      <c r="A6" t="s">
        <v>818</v>
      </c>
      <c r="B6">
        <v>72362.600000000006</v>
      </c>
      <c r="D6" t="s">
        <v>824</v>
      </c>
      <c r="E6" s="72">
        <v>0.05</v>
      </c>
    </row>
    <row r="7" spans="1:5" x14ac:dyDescent="0.2">
      <c r="A7" t="s">
        <v>824</v>
      </c>
      <c r="B7" s="72">
        <v>0.05</v>
      </c>
    </row>
    <row r="8" spans="1:5" x14ac:dyDescent="0.2">
      <c r="D8" t="s">
        <v>819</v>
      </c>
      <c r="E8" s="56">
        <f>E5*(E3+E4)/100000000</f>
        <v>18.090650000000004</v>
      </c>
    </row>
    <row r="9" spans="1:5" x14ac:dyDescent="0.2">
      <c r="A9" t="s">
        <v>819</v>
      </c>
      <c r="B9" s="56">
        <f>B6*(1-B3)*(B4+B5)/100000000</f>
        <v>15.196146000000001</v>
      </c>
      <c r="D9" t="s">
        <v>821</v>
      </c>
      <c r="E9" s="89">
        <f>119328/10000</f>
        <v>11.9328</v>
      </c>
    </row>
    <row r="10" spans="1:5" ht="28.5" x14ac:dyDescent="0.2">
      <c r="A10" t="s">
        <v>820</v>
      </c>
      <c r="B10" s="89">
        <f>B6*B3/10000</f>
        <v>1.1578016000000002</v>
      </c>
      <c r="D10" s="90" t="s">
        <v>822</v>
      </c>
      <c r="E10" s="89">
        <f>E5*(3500+1000)/100000000</f>
        <v>3.2563170000000001</v>
      </c>
    </row>
    <row r="11" spans="1:5" x14ac:dyDescent="0.2">
      <c r="A11" t="s">
        <v>821</v>
      </c>
      <c r="B11" s="89">
        <f>119328/10000</f>
        <v>11.9328</v>
      </c>
      <c r="D11" t="s">
        <v>823</v>
      </c>
      <c r="E11" s="89">
        <f>E9*E6</f>
        <v>0.59664000000000006</v>
      </c>
    </row>
    <row r="12" spans="1:5" ht="28.5" x14ac:dyDescent="0.2">
      <c r="A12" s="90" t="s">
        <v>822</v>
      </c>
      <c r="B12" s="89">
        <f>B6*(3500+1000)/100000000</f>
        <v>3.2563170000000001</v>
      </c>
    </row>
    <row r="13" spans="1:5" x14ac:dyDescent="0.2">
      <c r="A13" t="s">
        <v>823</v>
      </c>
      <c r="B13" s="89">
        <f>B11*B7</f>
        <v>0.59664000000000006</v>
      </c>
      <c r="D13" t="s">
        <v>825</v>
      </c>
    </row>
    <row r="14" spans="1:5" x14ac:dyDescent="0.2">
      <c r="D14" t="s">
        <v>826</v>
      </c>
      <c r="E14" s="56">
        <f>E8-(E9+E10+E11)</f>
        <v>2.3048930000000034</v>
      </c>
    </row>
    <row r="15" spans="1:5" x14ac:dyDescent="0.2">
      <c r="A15" t="s">
        <v>825</v>
      </c>
      <c r="D15" t="s">
        <v>827</v>
      </c>
      <c r="E15" s="55">
        <f>E14/(E8)</f>
        <v>0.12740797041565688</v>
      </c>
    </row>
    <row r="16" spans="1:5" x14ac:dyDescent="0.2">
      <c r="A16" t="s">
        <v>826</v>
      </c>
      <c r="B16" s="56">
        <f>B9+B10-(B11+B12+B13)</f>
        <v>0.56819060000000121</v>
      </c>
    </row>
    <row r="17" spans="1:2" x14ac:dyDescent="0.2">
      <c r="A17" t="s">
        <v>827</v>
      </c>
      <c r="B17" s="55">
        <f>B16/(B9)</f>
        <v>3.739044097101997E-2</v>
      </c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7117-A6A7-4B78-BBCA-85174F1B4DEB}">
  <dimension ref="A1:O89"/>
  <sheetViews>
    <sheetView workbookViewId="0">
      <pane ySplit="1" topLeftCell="A58" activePane="bottomLeft" state="frozen"/>
      <selection pane="bottomLeft" activeCell="H78" sqref="H78"/>
    </sheetView>
  </sheetViews>
  <sheetFormatPr defaultRowHeight="14.25" x14ac:dyDescent="0.2"/>
  <cols>
    <col min="1" max="1" width="9.125" style="344" bestFit="1" customWidth="1"/>
    <col min="2" max="2" width="29.75" style="192" customWidth="1"/>
    <col min="3" max="3" width="11.375" style="192" customWidth="1"/>
    <col min="4" max="4" width="9.125" style="394" bestFit="1" customWidth="1"/>
    <col min="5" max="5" width="12.375" style="192" customWidth="1"/>
    <col min="6" max="6" width="9.125" style="192" bestFit="1" customWidth="1"/>
    <col min="7" max="7" width="13.25" style="192" customWidth="1"/>
    <col min="8" max="8" width="9.375" style="192" bestFit="1" customWidth="1"/>
    <col min="9" max="9" width="9.125" style="192" bestFit="1" customWidth="1"/>
    <col min="10" max="10" width="11.5" style="192" customWidth="1"/>
    <col min="11" max="11" width="13.125" style="192" customWidth="1"/>
    <col min="12" max="12" width="10.375" style="192" hidden="1" customWidth="1"/>
    <col min="13" max="13" width="14.625" style="192" customWidth="1"/>
    <col min="14" max="14" width="28.875" style="192" customWidth="1"/>
    <col min="15" max="16384" width="9" style="192"/>
  </cols>
  <sheetData>
    <row r="1" spans="1:15" s="34" customFormat="1" ht="42.75" x14ac:dyDescent="0.2">
      <c r="A1" s="340" t="s">
        <v>344</v>
      </c>
      <c r="B1" s="186" t="s">
        <v>1200</v>
      </c>
      <c r="C1" s="186" t="s">
        <v>1201</v>
      </c>
      <c r="D1" s="390" t="s">
        <v>345</v>
      </c>
      <c r="E1" s="186" t="s">
        <v>1202</v>
      </c>
      <c r="F1" s="186" t="s">
        <v>1203</v>
      </c>
      <c r="G1" s="186" t="s">
        <v>1204</v>
      </c>
      <c r="H1" s="186" t="s">
        <v>1205</v>
      </c>
      <c r="I1" s="186" t="s">
        <v>1206</v>
      </c>
      <c r="J1" s="186" t="s">
        <v>1207</v>
      </c>
      <c r="K1" s="197" t="s">
        <v>1208</v>
      </c>
      <c r="L1" s="198" t="s">
        <v>1209</v>
      </c>
      <c r="M1" s="186" t="s">
        <v>1210</v>
      </c>
      <c r="N1" s="186" t="s">
        <v>1211</v>
      </c>
      <c r="O1" s="186" t="s">
        <v>1212</v>
      </c>
    </row>
    <row r="2" spans="1:15" x14ac:dyDescent="0.2">
      <c r="A2" s="341">
        <v>1</v>
      </c>
      <c r="B2" s="187" t="s">
        <v>1287</v>
      </c>
      <c r="C2" s="187" t="s">
        <v>1226</v>
      </c>
      <c r="D2" s="43">
        <v>1</v>
      </c>
      <c r="E2" s="187">
        <v>20928</v>
      </c>
      <c r="F2" s="187">
        <v>2.2999999999999998</v>
      </c>
      <c r="G2" s="187">
        <v>48134.400000000001</v>
      </c>
      <c r="H2" s="187">
        <v>11904.17</v>
      </c>
      <c r="I2" s="187">
        <f t="shared" ref="I2:I34" si="0">H2*G2/100000000</f>
        <v>5.7300008044800004</v>
      </c>
      <c r="J2" s="187">
        <v>35454.07</v>
      </c>
      <c r="K2" s="187">
        <v>111748.79</v>
      </c>
      <c r="L2" s="187">
        <f t="shared" ref="L2:L34" si="1">K2*D2</f>
        <v>111748.79</v>
      </c>
      <c r="M2" s="187">
        <v>6052</v>
      </c>
      <c r="N2" s="188"/>
      <c r="O2" s="187"/>
    </row>
    <row r="3" spans="1:15" x14ac:dyDescent="0.2">
      <c r="A3" s="343">
        <v>2</v>
      </c>
      <c r="B3" s="189" t="s">
        <v>1304</v>
      </c>
      <c r="C3" s="189" t="s">
        <v>1305</v>
      </c>
      <c r="D3" s="391">
        <v>1</v>
      </c>
      <c r="E3" s="189">
        <v>88958</v>
      </c>
      <c r="F3" s="189">
        <v>2.5</v>
      </c>
      <c r="G3" s="189">
        <v>222395</v>
      </c>
      <c r="H3" s="189">
        <v>1978.46</v>
      </c>
      <c r="I3" s="189">
        <f t="shared" si="0"/>
        <v>4.3999961169999997</v>
      </c>
      <c r="J3" s="189">
        <v>0</v>
      </c>
      <c r="K3" s="189">
        <v>0</v>
      </c>
      <c r="L3" s="189">
        <f t="shared" si="1"/>
        <v>0</v>
      </c>
      <c r="M3" s="189">
        <v>222395</v>
      </c>
      <c r="N3" s="190" t="s">
        <v>1306</v>
      </c>
      <c r="O3" s="189"/>
    </row>
    <row r="4" spans="1:15" x14ac:dyDescent="0.2">
      <c r="A4" s="342">
        <v>3</v>
      </c>
      <c r="B4" s="193" t="s">
        <v>1273</v>
      </c>
      <c r="C4" s="193" t="s">
        <v>1274</v>
      </c>
      <c r="D4" s="392">
        <v>1</v>
      </c>
      <c r="E4" s="193">
        <v>19396.900000000001</v>
      </c>
      <c r="F4" s="193">
        <v>2</v>
      </c>
      <c r="G4" s="193">
        <v>38793.800000000003</v>
      </c>
      <c r="H4" s="193">
        <v>22091.16</v>
      </c>
      <c r="I4" s="193">
        <f t="shared" si="0"/>
        <v>8.5700004280800002</v>
      </c>
      <c r="J4" s="193">
        <v>8473.43</v>
      </c>
      <c r="K4" s="193">
        <v>35798.980000000003</v>
      </c>
      <c r="L4" s="193">
        <f t="shared" si="1"/>
        <v>35798.980000000003</v>
      </c>
      <c r="M4" s="193">
        <v>27867</v>
      </c>
      <c r="N4" s="194"/>
      <c r="O4" s="193"/>
    </row>
    <row r="5" spans="1:15" x14ac:dyDescent="0.2">
      <c r="A5" s="341">
        <v>4</v>
      </c>
      <c r="B5" s="187" t="s">
        <v>1225</v>
      </c>
      <c r="C5" s="187" t="s">
        <v>1226</v>
      </c>
      <c r="D5" s="43">
        <v>0.4</v>
      </c>
      <c r="E5" s="187">
        <v>87913.77</v>
      </c>
      <c r="F5" s="187">
        <v>1.8</v>
      </c>
      <c r="G5" s="187">
        <v>158244.79</v>
      </c>
      <c r="H5" s="187">
        <v>14597.64</v>
      </c>
      <c r="I5" s="187">
        <f t="shared" si="0"/>
        <v>23.100004762956001</v>
      </c>
      <c r="J5" s="187">
        <v>0</v>
      </c>
      <c r="K5" s="187">
        <v>0</v>
      </c>
      <c r="L5" s="187">
        <f t="shared" si="1"/>
        <v>0</v>
      </c>
      <c r="M5" s="187">
        <v>158244.79</v>
      </c>
      <c r="N5" s="188"/>
      <c r="O5" s="187"/>
    </row>
    <row r="6" spans="1:15" x14ac:dyDescent="0.2">
      <c r="A6" s="341">
        <v>5</v>
      </c>
      <c r="B6" s="187" t="s">
        <v>1309</v>
      </c>
      <c r="C6" s="187" t="s">
        <v>1226</v>
      </c>
      <c r="D6" s="43">
        <v>0.34</v>
      </c>
      <c r="E6" s="187">
        <v>19666.77</v>
      </c>
      <c r="F6" s="187">
        <v>2.2999999999999998</v>
      </c>
      <c r="G6" s="187">
        <v>45233.56</v>
      </c>
      <c r="H6" s="187">
        <v>9196.7099999999991</v>
      </c>
      <c r="I6" s="187">
        <f t="shared" si="0"/>
        <v>4.159999335875999</v>
      </c>
      <c r="J6" s="187">
        <v>0</v>
      </c>
      <c r="K6" s="187">
        <v>0</v>
      </c>
      <c r="L6" s="187">
        <f t="shared" si="1"/>
        <v>0</v>
      </c>
      <c r="M6" s="187">
        <v>10870.89</v>
      </c>
      <c r="N6" s="188"/>
      <c r="O6" s="187"/>
    </row>
    <row r="7" spans="1:15" x14ac:dyDescent="0.2">
      <c r="A7" s="341">
        <v>6</v>
      </c>
      <c r="B7" s="187" t="s">
        <v>1230</v>
      </c>
      <c r="C7" s="187" t="s">
        <v>1231</v>
      </c>
      <c r="D7" s="43">
        <v>0.39500000000000002</v>
      </c>
      <c r="E7" s="187">
        <v>36279</v>
      </c>
      <c r="F7" s="187">
        <v>2.5</v>
      </c>
      <c r="G7" s="187">
        <v>90697.5</v>
      </c>
      <c r="H7" s="187">
        <v>21610.3</v>
      </c>
      <c r="I7" s="187">
        <f t="shared" si="0"/>
        <v>19.600001842499999</v>
      </c>
      <c r="J7" s="187">
        <v>0</v>
      </c>
      <c r="K7" s="187">
        <v>0</v>
      </c>
      <c r="L7" s="187">
        <f t="shared" si="1"/>
        <v>0</v>
      </c>
      <c r="M7" s="187">
        <v>90697.5</v>
      </c>
      <c r="N7" s="188"/>
      <c r="O7" s="187"/>
    </row>
    <row r="8" spans="1:15" x14ac:dyDescent="0.2">
      <c r="A8" s="341">
        <v>7</v>
      </c>
      <c r="B8" s="187" t="s">
        <v>1221</v>
      </c>
      <c r="C8" s="187" t="s">
        <v>1222</v>
      </c>
      <c r="D8" s="43">
        <v>1</v>
      </c>
      <c r="E8" s="187">
        <v>590055</v>
      </c>
      <c r="F8" s="187">
        <v>1.69</v>
      </c>
      <c r="G8" s="187">
        <v>997192.95</v>
      </c>
      <c r="H8" s="187">
        <v>2861.03</v>
      </c>
      <c r="I8" s="187">
        <f t="shared" si="0"/>
        <v>28.529989457385</v>
      </c>
      <c r="J8" s="187">
        <v>508.14</v>
      </c>
      <c r="K8" s="187">
        <v>805.12</v>
      </c>
      <c r="L8" s="187">
        <f t="shared" si="1"/>
        <v>805.12</v>
      </c>
      <c r="M8" s="187">
        <v>332066.52</v>
      </c>
      <c r="N8" s="188"/>
      <c r="O8" s="187"/>
    </row>
    <row r="9" spans="1:15" ht="28.5" x14ac:dyDescent="0.2">
      <c r="A9" s="341">
        <v>8</v>
      </c>
      <c r="B9" s="187" t="s">
        <v>1289</v>
      </c>
      <c r="C9" s="187" t="s">
        <v>1222</v>
      </c>
      <c r="D9" s="43">
        <v>1</v>
      </c>
      <c r="E9" s="187">
        <v>119030</v>
      </c>
      <c r="F9" s="187">
        <v>2</v>
      </c>
      <c r="G9" s="187">
        <v>238060</v>
      </c>
      <c r="H9" s="187">
        <v>2354.4499999999998</v>
      </c>
      <c r="I9" s="187">
        <f t="shared" si="0"/>
        <v>5.6050036700000003</v>
      </c>
      <c r="J9" s="187">
        <v>9714.64</v>
      </c>
      <c r="K9" s="187">
        <v>11621.56</v>
      </c>
      <c r="L9" s="187">
        <f t="shared" si="1"/>
        <v>11621.56</v>
      </c>
      <c r="M9" s="187">
        <v>39056.36</v>
      </c>
      <c r="N9" s="188" t="s">
        <v>1290</v>
      </c>
      <c r="O9" s="191" t="s">
        <v>1291</v>
      </c>
    </row>
    <row r="10" spans="1:15" s="432" customFormat="1" x14ac:dyDescent="0.2">
      <c r="A10" s="430">
        <v>9</v>
      </c>
      <c r="B10" s="431" t="s">
        <v>1262</v>
      </c>
      <c r="C10" s="431" t="s">
        <v>1222</v>
      </c>
      <c r="D10" s="391">
        <v>1</v>
      </c>
      <c r="E10" s="431">
        <v>128900</v>
      </c>
      <c r="F10" s="431">
        <v>2.29</v>
      </c>
      <c r="G10" s="431">
        <v>296458</v>
      </c>
      <c r="H10" s="431">
        <v>3812.11</v>
      </c>
      <c r="I10" s="431">
        <f t="shared" si="0"/>
        <v>11.301305063800001</v>
      </c>
      <c r="J10" s="431">
        <v>85925.09</v>
      </c>
      <c r="K10" s="431">
        <v>97846.62</v>
      </c>
      <c r="L10" s="431">
        <f t="shared" si="1"/>
        <v>97846.62</v>
      </c>
      <c r="M10" s="431">
        <v>12910.91</v>
      </c>
      <c r="N10" s="190"/>
      <c r="O10" s="431"/>
    </row>
    <row r="11" spans="1:15" x14ac:dyDescent="0.2">
      <c r="A11" s="341">
        <v>10</v>
      </c>
      <c r="B11" s="187" t="s">
        <v>1236</v>
      </c>
      <c r="C11" s="187" t="s">
        <v>1222</v>
      </c>
      <c r="D11" s="43">
        <v>1</v>
      </c>
      <c r="E11" s="187">
        <v>140934</v>
      </c>
      <c r="F11" s="187">
        <v>2.4</v>
      </c>
      <c r="G11" s="187">
        <v>338241.6</v>
      </c>
      <c r="H11" s="187">
        <v>5351.15</v>
      </c>
      <c r="I11" s="187">
        <f t="shared" si="0"/>
        <v>18.099815378399995</v>
      </c>
      <c r="J11" s="187">
        <v>124907.59</v>
      </c>
      <c r="K11" s="187">
        <v>192267.2</v>
      </c>
      <c r="L11" s="187">
        <f t="shared" si="1"/>
        <v>192267.2</v>
      </c>
      <c r="M11" s="187">
        <v>16784.009999999998</v>
      </c>
      <c r="N11" s="188"/>
      <c r="O11" s="187"/>
    </row>
    <row r="12" spans="1:15" x14ac:dyDescent="0.2">
      <c r="A12" s="341">
        <v>11</v>
      </c>
      <c r="B12" s="187" t="s">
        <v>1318</v>
      </c>
      <c r="C12" s="187" t="s">
        <v>1222</v>
      </c>
      <c r="D12" s="43">
        <v>1</v>
      </c>
      <c r="E12" s="187">
        <v>54731</v>
      </c>
      <c r="F12" s="187">
        <v>1.5</v>
      </c>
      <c r="G12" s="187">
        <v>82096.5</v>
      </c>
      <c r="H12" s="187">
        <v>4634.79</v>
      </c>
      <c r="I12" s="187">
        <f t="shared" si="0"/>
        <v>3.8050003723500003</v>
      </c>
      <c r="J12" s="187">
        <v>61826.41</v>
      </c>
      <c r="K12" s="187">
        <v>108923.62</v>
      </c>
      <c r="L12" s="187">
        <f t="shared" si="1"/>
        <v>108923.62</v>
      </c>
      <c r="M12" s="187">
        <v>20270.09</v>
      </c>
      <c r="N12" s="188"/>
      <c r="O12" s="187"/>
    </row>
    <row r="13" spans="1:15" x14ac:dyDescent="0.2">
      <c r="A13" s="341">
        <v>12</v>
      </c>
      <c r="B13" s="187" t="s">
        <v>1283</v>
      </c>
      <c r="C13" s="187" t="s">
        <v>1222</v>
      </c>
      <c r="D13" s="43">
        <v>0.33300000000000002</v>
      </c>
      <c r="E13" s="187">
        <v>66686</v>
      </c>
      <c r="F13" s="187">
        <v>2.2000000000000002</v>
      </c>
      <c r="G13" s="187">
        <v>146709.20000000001</v>
      </c>
      <c r="H13" s="187">
        <v>4562.7</v>
      </c>
      <c r="I13" s="187">
        <f t="shared" si="0"/>
        <v>6.6939006684000004</v>
      </c>
      <c r="J13" s="187">
        <v>0</v>
      </c>
      <c r="K13" s="187">
        <v>0</v>
      </c>
      <c r="L13" s="187">
        <f t="shared" si="1"/>
        <v>0</v>
      </c>
      <c r="M13" s="187">
        <v>146709.20000000001</v>
      </c>
      <c r="N13" s="188"/>
      <c r="O13" s="187"/>
    </row>
    <row r="14" spans="1:15" x14ac:dyDescent="0.2">
      <c r="A14" s="341">
        <v>13</v>
      </c>
      <c r="B14" s="187" t="s">
        <v>1266</v>
      </c>
      <c r="C14" s="187" t="s">
        <v>1265</v>
      </c>
      <c r="D14" s="43">
        <v>1</v>
      </c>
      <c r="E14" s="187">
        <v>155183</v>
      </c>
      <c r="F14" s="187">
        <v>2.5</v>
      </c>
      <c r="G14" s="187">
        <v>387957</v>
      </c>
      <c r="H14" s="187">
        <v>2701.33</v>
      </c>
      <c r="I14" s="187">
        <f t="shared" si="0"/>
        <v>10.479998828099999</v>
      </c>
      <c r="J14" s="187">
        <v>21598.73</v>
      </c>
      <c r="K14" s="187">
        <v>23569.75</v>
      </c>
      <c r="L14" s="187">
        <f t="shared" si="1"/>
        <v>23569.75</v>
      </c>
      <c r="M14" s="187">
        <v>17741.3</v>
      </c>
      <c r="N14" s="188"/>
      <c r="O14" s="187"/>
    </row>
    <row r="15" spans="1:15" s="432" customFormat="1" x14ac:dyDescent="0.2">
      <c r="A15" s="430">
        <v>14</v>
      </c>
      <c r="B15" s="431" t="s">
        <v>1264</v>
      </c>
      <c r="C15" s="431" t="s">
        <v>1265</v>
      </c>
      <c r="D15" s="391">
        <v>1</v>
      </c>
      <c r="E15" s="431">
        <v>160000</v>
      </c>
      <c r="F15" s="431">
        <v>2.5</v>
      </c>
      <c r="G15" s="431">
        <v>400000</v>
      </c>
      <c r="H15" s="431">
        <v>2620</v>
      </c>
      <c r="I15" s="431">
        <f t="shared" si="0"/>
        <v>10.48</v>
      </c>
      <c r="J15" s="431">
        <v>161049.10999999999</v>
      </c>
      <c r="K15" s="431">
        <v>213293.03</v>
      </c>
      <c r="L15" s="431">
        <f t="shared" si="1"/>
        <v>213293.03</v>
      </c>
      <c r="M15" s="431">
        <v>238950.89</v>
      </c>
      <c r="N15" s="190"/>
      <c r="O15" s="431"/>
    </row>
    <row r="16" spans="1:15" x14ac:dyDescent="0.2">
      <c r="A16" s="341">
        <v>15</v>
      </c>
      <c r="B16" s="187" t="s">
        <v>1258</v>
      </c>
      <c r="C16" s="187" t="s">
        <v>1259</v>
      </c>
      <c r="D16" s="43">
        <v>1</v>
      </c>
      <c r="E16" s="187">
        <v>219674</v>
      </c>
      <c r="F16" s="187">
        <v>2.2799999999999998</v>
      </c>
      <c r="G16" s="187">
        <v>506047</v>
      </c>
      <c r="H16" s="187">
        <v>2248.41</v>
      </c>
      <c r="I16" s="187">
        <f t="shared" si="0"/>
        <v>11.3780113527</v>
      </c>
      <c r="J16" s="187">
        <v>33321.019999999997</v>
      </c>
      <c r="K16" s="187">
        <v>51985.82</v>
      </c>
      <c r="L16" s="187">
        <f t="shared" si="1"/>
        <v>51985.82</v>
      </c>
      <c r="M16" s="187">
        <v>6635.99</v>
      </c>
      <c r="N16" s="188"/>
      <c r="O16" s="187"/>
    </row>
    <row r="17" spans="1:15" x14ac:dyDescent="0.2">
      <c r="A17" s="341">
        <v>16</v>
      </c>
      <c r="B17" s="187" t="s">
        <v>1253</v>
      </c>
      <c r="C17" s="187" t="s">
        <v>1254</v>
      </c>
      <c r="D17" s="43">
        <v>1</v>
      </c>
      <c r="E17" s="187">
        <v>100840</v>
      </c>
      <c r="F17" s="187">
        <v>1.68</v>
      </c>
      <c r="G17" s="187">
        <v>169356.33</v>
      </c>
      <c r="H17" s="187">
        <v>7599.36</v>
      </c>
      <c r="I17" s="187">
        <f t="shared" si="0"/>
        <v>12.869997199487999</v>
      </c>
      <c r="J17" s="187">
        <v>5024</v>
      </c>
      <c r="K17" s="187">
        <v>15504.37</v>
      </c>
      <c r="L17" s="187">
        <f t="shared" si="1"/>
        <v>15504.37</v>
      </c>
      <c r="M17" s="187">
        <v>14584.88</v>
      </c>
      <c r="N17" s="188"/>
      <c r="O17" s="187"/>
    </row>
    <row r="18" spans="1:15" s="196" customFormat="1" x14ac:dyDescent="0.2">
      <c r="A18" s="341">
        <v>17</v>
      </c>
      <c r="B18" s="187" t="s">
        <v>1300</v>
      </c>
      <c r="C18" s="187" t="s">
        <v>1301</v>
      </c>
      <c r="D18" s="43">
        <v>1</v>
      </c>
      <c r="E18" s="187">
        <v>26330.6</v>
      </c>
      <c r="F18" s="187">
        <v>1.4</v>
      </c>
      <c r="G18" s="187">
        <v>36862.839999999997</v>
      </c>
      <c r="H18" s="187">
        <v>13696.72</v>
      </c>
      <c r="I18" s="187">
        <f t="shared" si="0"/>
        <v>5.0489999788479993</v>
      </c>
      <c r="J18" s="187">
        <v>31554.57</v>
      </c>
      <c r="K18" s="187">
        <v>114534.45</v>
      </c>
      <c r="L18" s="187">
        <f t="shared" si="1"/>
        <v>114534.45</v>
      </c>
      <c r="M18" s="187">
        <v>5308.27</v>
      </c>
      <c r="N18" s="188"/>
      <c r="O18" s="187"/>
    </row>
    <row r="19" spans="1:15" x14ac:dyDescent="0.2">
      <c r="A19" s="341">
        <v>18</v>
      </c>
      <c r="B19" s="187" t="s">
        <v>1219</v>
      </c>
      <c r="C19" s="187" t="s">
        <v>1220</v>
      </c>
      <c r="D19" s="43">
        <v>0.5</v>
      </c>
      <c r="E19" s="187">
        <v>169985</v>
      </c>
      <c r="F19" s="187">
        <v>1.83</v>
      </c>
      <c r="G19" s="187">
        <v>311242.53999999998</v>
      </c>
      <c r="H19" s="187">
        <v>10049.11</v>
      </c>
      <c r="I19" s="187">
        <f t="shared" si="0"/>
        <v>31.277105211394002</v>
      </c>
      <c r="J19" s="187">
        <v>71903.05</v>
      </c>
      <c r="K19" s="187">
        <v>173014.08</v>
      </c>
      <c r="L19" s="187">
        <f t="shared" si="1"/>
        <v>86507.04</v>
      </c>
      <c r="M19" s="187">
        <v>240277.55</v>
      </c>
      <c r="N19" s="188"/>
      <c r="O19" s="187"/>
    </row>
    <row r="20" spans="1:15" x14ac:dyDescent="0.2">
      <c r="A20" s="341">
        <v>19</v>
      </c>
      <c r="B20" s="187" t="s">
        <v>1362</v>
      </c>
      <c r="C20" s="187" t="s">
        <v>1363</v>
      </c>
      <c r="D20" s="43">
        <v>1</v>
      </c>
      <c r="E20" s="187">
        <v>16573</v>
      </c>
      <c r="F20" s="187">
        <v>22</v>
      </c>
      <c r="G20" s="187">
        <v>364606</v>
      </c>
      <c r="H20" s="187">
        <v>212.09</v>
      </c>
      <c r="I20" s="187">
        <f t="shared" si="0"/>
        <v>0.77329286540000008</v>
      </c>
      <c r="J20" s="187">
        <v>0</v>
      </c>
      <c r="K20" s="187">
        <v>0</v>
      </c>
      <c r="L20" s="187">
        <f t="shared" si="1"/>
        <v>0</v>
      </c>
      <c r="M20" s="187">
        <v>364606</v>
      </c>
      <c r="N20" s="188"/>
      <c r="O20" s="187"/>
    </row>
    <row r="21" spans="1:15" s="432" customFormat="1" x14ac:dyDescent="0.2">
      <c r="A21" s="430">
        <v>20</v>
      </c>
      <c r="B21" s="431" t="s">
        <v>1260</v>
      </c>
      <c r="C21" s="431" t="s">
        <v>1261</v>
      </c>
      <c r="D21" s="391">
        <v>1</v>
      </c>
      <c r="E21" s="431">
        <v>63748</v>
      </c>
      <c r="F21" s="431">
        <v>1.95</v>
      </c>
      <c r="G21" s="431">
        <v>124308.6</v>
      </c>
      <c r="H21" s="431">
        <v>9151.02</v>
      </c>
      <c r="I21" s="431">
        <f t="shared" si="0"/>
        <v>11.37550484772</v>
      </c>
      <c r="J21" s="431">
        <v>0</v>
      </c>
      <c r="K21" s="431">
        <v>0</v>
      </c>
      <c r="L21" s="431">
        <f t="shared" si="1"/>
        <v>0</v>
      </c>
      <c r="M21" s="431">
        <v>124308.6</v>
      </c>
      <c r="N21" s="190"/>
      <c r="O21" s="431"/>
    </row>
    <row r="22" spans="1:15" s="432" customFormat="1" x14ac:dyDescent="0.2">
      <c r="A22" s="430">
        <v>21</v>
      </c>
      <c r="B22" s="431" t="s">
        <v>1303</v>
      </c>
      <c r="C22" s="431" t="s">
        <v>1261</v>
      </c>
      <c r="D22" s="391">
        <v>1</v>
      </c>
      <c r="E22" s="431">
        <v>26543</v>
      </c>
      <c r="F22" s="431">
        <v>1.95</v>
      </c>
      <c r="G22" s="431">
        <v>38963.870000000003</v>
      </c>
      <c r="H22" s="431">
        <v>11980.33</v>
      </c>
      <c r="I22" s="431">
        <f t="shared" si="0"/>
        <v>4.6680002067710005</v>
      </c>
      <c r="J22" s="431">
        <v>34394.54</v>
      </c>
      <c r="K22" s="431">
        <v>65011.5</v>
      </c>
      <c r="L22" s="431">
        <f t="shared" si="1"/>
        <v>65011.5</v>
      </c>
      <c r="M22" s="431">
        <v>4569.33</v>
      </c>
      <c r="N22" s="190"/>
      <c r="O22" s="431"/>
    </row>
    <row r="23" spans="1:15" s="432" customFormat="1" x14ac:dyDescent="0.2">
      <c r="A23" s="430"/>
      <c r="B23" s="431"/>
      <c r="C23" s="431"/>
      <c r="D23" s="391"/>
      <c r="E23" s="431">
        <f>E21+E22</f>
        <v>90291</v>
      </c>
      <c r="F23" s="431"/>
      <c r="G23" s="431">
        <f>G21+G22</f>
        <v>163272.47</v>
      </c>
      <c r="H23" s="431">
        <f>E23/G23*10000</f>
        <v>5530.0810969540671</v>
      </c>
      <c r="I23" s="431">
        <f>I21+I22</f>
        <v>16.043505054491</v>
      </c>
      <c r="J23" s="431"/>
      <c r="K23" s="431"/>
      <c r="L23" s="431"/>
      <c r="M23" s="431"/>
      <c r="N23" s="190"/>
      <c r="O23" s="431"/>
    </row>
    <row r="24" spans="1:15" x14ac:dyDescent="0.2">
      <c r="A24" s="341">
        <v>22</v>
      </c>
      <c r="B24" s="187" t="s">
        <v>1271</v>
      </c>
      <c r="C24" s="187" t="s">
        <v>1261</v>
      </c>
      <c r="D24" s="43">
        <v>1</v>
      </c>
      <c r="E24" s="187">
        <v>82934</v>
      </c>
      <c r="F24" s="187">
        <v>2.2000000000000002</v>
      </c>
      <c r="G24" s="187">
        <v>182454.8</v>
      </c>
      <c r="H24" s="187">
        <v>5015.2700000000004</v>
      </c>
      <c r="I24" s="187">
        <f t="shared" si="0"/>
        <v>9.1506008479599998</v>
      </c>
      <c r="J24" s="187">
        <v>37124.89</v>
      </c>
      <c r="K24" s="187">
        <v>69378.47</v>
      </c>
      <c r="L24" s="187">
        <f t="shared" si="1"/>
        <v>69378.47</v>
      </c>
      <c r="M24" s="187">
        <v>2899.22</v>
      </c>
      <c r="N24" s="188"/>
      <c r="O24" s="187"/>
    </row>
    <row r="25" spans="1:15" x14ac:dyDescent="0.2">
      <c r="A25" s="341">
        <v>23</v>
      </c>
      <c r="B25" s="187" t="s">
        <v>1223</v>
      </c>
      <c r="C25" s="187" t="s">
        <v>1224</v>
      </c>
      <c r="D25" s="43">
        <v>1</v>
      </c>
      <c r="E25" s="187">
        <v>129261</v>
      </c>
      <c r="F25" s="187">
        <v>3</v>
      </c>
      <c r="G25" s="187">
        <v>387783</v>
      </c>
      <c r="H25" s="187">
        <v>6627.42</v>
      </c>
      <c r="I25" s="187">
        <f t="shared" si="0"/>
        <v>25.700008098600001</v>
      </c>
      <c r="J25" s="187">
        <v>109183.67999999999</v>
      </c>
      <c r="K25" s="187">
        <v>229263.67</v>
      </c>
      <c r="L25" s="187">
        <f t="shared" si="1"/>
        <v>229263.67</v>
      </c>
      <c r="M25" s="187">
        <v>124639.88</v>
      </c>
      <c r="N25" s="188"/>
      <c r="O25" s="187"/>
    </row>
    <row r="26" spans="1:15" x14ac:dyDescent="0.2">
      <c r="A26" s="341">
        <v>24</v>
      </c>
      <c r="B26" s="187" t="s">
        <v>1331</v>
      </c>
      <c r="C26" s="187" t="s">
        <v>1332</v>
      </c>
      <c r="D26" s="43">
        <v>1</v>
      </c>
      <c r="E26" s="187">
        <v>79100</v>
      </c>
      <c r="F26" s="187">
        <v>2</v>
      </c>
      <c r="G26" s="187">
        <v>158200</v>
      </c>
      <c r="H26" s="187">
        <v>1900.44</v>
      </c>
      <c r="I26" s="187">
        <f t="shared" si="0"/>
        <v>3.0064960799999998</v>
      </c>
      <c r="J26" s="187">
        <v>67140.44</v>
      </c>
      <c r="K26" s="187">
        <v>52825.8</v>
      </c>
      <c r="L26" s="187">
        <f t="shared" si="1"/>
        <v>52825.8</v>
      </c>
      <c r="M26" s="187">
        <v>55199.59</v>
      </c>
      <c r="N26" s="188"/>
      <c r="O26" s="187"/>
    </row>
    <row r="27" spans="1:15" x14ac:dyDescent="0.2">
      <c r="A27" s="341">
        <v>25</v>
      </c>
      <c r="B27" s="187" t="s">
        <v>1364</v>
      </c>
      <c r="C27" s="187" t="s">
        <v>1365</v>
      </c>
      <c r="D27" s="43">
        <v>1</v>
      </c>
      <c r="E27" s="187">
        <v>10600.1</v>
      </c>
      <c r="F27" s="187">
        <v>3</v>
      </c>
      <c r="G27" s="187">
        <v>31800.3</v>
      </c>
      <c r="H27" s="187">
        <v>2106.9</v>
      </c>
      <c r="I27" s="187">
        <f t="shared" si="0"/>
        <v>0.67000052070000005</v>
      </c>
      <c r="J27" s="187">
        <v>0</v>
      </c>
      <c r="K27" s="187">
        <v>0</v>
      </c>
      <c r="L27" s="187">
        <f t="shared" si="1"/>
        <v>0</v>
      </c>
      <c r="M27" s="187">
        <v>31800.3</v>
      </c>
      <c r="N27" s="188"/>
      <c r="O27" s="187"/>
    </row>
    <row r="28" spans="1:15" x14ac:dyDescent="0.2">
      <c r="A28" s="341">
        <v>26</v>
      </c>
      <c r="B28" s="187" t="s">
        <v>1263</v>
      </c>
      <c r="C28" s="187" t="s">
        <v>1214</v>
      </c>
      <c r="D28" s="43">
        <v>1</v>
      </c>
      <c r="E28" s="187">
        <v>24920</v>
      </c>
      <c r="F28" s="187">
        <v>2.6</v>
      </c>
      <c r="G28" s="187">
        <v>64792</v>
      </c>
      <c r="H28" s="187">
        <v>17440.419999999998</v>
      </c>
      <c r="I28" s="187">
        <f t="shared" si="0"/>
        <v>11.299996926399999</v>
      </c>
      <c r="J28" s="187">
        <v>0</v>
      </c>
      <c r="K28" s="187">
        <v>0</v>
      </c>
      <c r="L28" s="187">
        <f t="shared" si="1"/>
        <v>0</v>
      </c>
      <c r="M28" s="187">
        <v>64792</v>
      </c>
      <c r="N28" s="188"/>
      <c r="O28" s="187"/>
    </row>
    <row r="29" spans="1:15" x14ac:dyDescent="0.2">
      <c r="A29" s="341">
        <v>27</v>
      </c>
      <c r="B29" s="187" t="s">
        <v>1213</v>
      </c>
      <c r="C29" s="187" t="s">
        <v>1214</v>
      </c>
      <c r="D29" s="43">
        <v>0.32</v>
      </c>
      <c r="E29" s="187">
        <v>90935</v>
      </c>
      <c r="F29" s="187">
        <v>2.75</v>
      </c>
      <c r="G29" s="187">
        <v>250071.25</v>
      </c>
      <c r="H29" s="187">
        <v>19194.53</v>
      </c>
      <c r="I29" s="187">
        <f t="shared" si="0"/>
        <v>48.000001102624999</v>
      </c>
      <c r="J29" s="187">
        <v>0</v>
      </c>
      <c r="K29" s="187">
        <v>0</v>
      </c>
      <c r="L29" s="187">
        <f t="shared" si="1"/>
        <v>0</v>
      </c>
      <c r="M29" s="187">
        <v>250071.25</v>
      </c>
      <c r="N29" s="188" t="s">
        <v>1215</v>
      </c>
      <c r="O29" s="191" t="s">
        <v>1216</v>
      </c>
    </row>
    <row r="30" spans="1:15" x14ac:dyDescent="0.2">
      <c r="A30" s="341">
        <v>28</v>
      </c>
      <c r="B30" s="187" t="s">
        <v>1232</v>
      </c>
      <c r="C30" s="187" t="s">
        <v>1214</v>
      </c>
      <c r="D30" s="43">
        <v>1</v>
      </c>
      <c r="E30" s="187">
        <v>89198.5</v>
      </c>
      <c r="F30" s="187">
        <v>1.7</v>
      </c>
      <c r="G30" s="187">
        <v>151637.45000000001</v>
      </c>
      <c r="H30" s="187">
        <v>12727.73</v>
      </c>
      <c r="I30" s="187">
        <f t="shared" si="0"/>
        <v>19.300005214885001</v>
      </c>
      <c r="J30" s="187">
        <v>59695.17</v>
      </c>
      <c r="K30" s="187">
        <v>142024.16</v>
      </c>
      <c r="L30" s="187">
        <f t="shared" si="1"/>
        <v>142024.16</v>
      </c>
      <c r="M30" s="187">
        <v>91942.28</v>
      </c>
      <c r="N30" s="188"/>
      <c r="O30" s="187"/>
    </row>
    <row r="31" spans="1:15" x14ac:dyDescent="0.2">
      <c r="A31" s="341">
        <v>29</v>
      </c>
      <c r="B31" s="187" t="s">
        <v>1251</v>
      </c>
      <c r="C31" s="187" t="s">
        <v>1783</v>
      </c>
      <c r="D31" s="43">
        <v>1</v>
      </c>
      <c r="E31" s="187">
        <v>35359</v>
      </c>
      <c r="F31" s="187">
        <v>3</v>
      </c>
      <c r="G31" s="187">
        <v>106077</v>
      </c>
      <c r="H31" s="187">
        <v>13197.96</v>
      </c>
      <c r="I31" s="187">
        <f t="shared" si="0"/>
        <v>14.000000029199999</v>
      </c>
      <c r="J31" s="187">
        <v>59512.54</v>
      </c>
      <c r="K31" s="187">
        <v>182299.84</v>
      </c>
      <c r="L31" s="187">
        <f t="shared" si="1"/>
        <v>182299.84</v>
      </c>
      <c r="M31" s="187">
        <v>25505.86</v>
      </c>
      <c r="N31" s="188"/>
      <c r="O31" s="187"/>
    </row>
    <row r="32" spans="1:15" ht="28.5" x14ac:dyDescent="0.2">
      <c r="A32" s="341">
        <v>30</v>
      </c>
      <c r="B32" s="187" t="s">
        <v>1217</v>
      </c>
      <c r="C32" s="187" t="s">
        <v>1784</v>
      </c>
      <c r="D32" s="43">
        <v>1</v>
      </c>
      <c r="E32" s="187">
        <v>69042</v>
      </c>
      <c r="F32" s="187">
        <v>2.7</v>
      </c>
      <c r="G32" s="187">
        <v>186413.4</v>
      </c>
      <c r="H32" s="187">
        <v>18829.12</v>
      </c>
      <c r="I32" s="187">
        <f t="shared" si="0"/>
        <v>35.100002782079997</v>
      </c>
      <c r="J32" s="187">
        <v>0</v>
      </c>
      <c r="K32" s="187">
        <v>0</v>
      </c>
      <c r="L32" s="187">
        <f t="shared" si="1"/>
        <v>0</v>
      </c>
      <c r="M32" s="187">
        <v>186413.4</v>
      </c>
      <c r="N32" s="188" t="s">
        <v>1752</v>
      </c>
      <c r="O32" s="191" t="s">
        <v>1751</v>
      </c>
    </row>
    <row r="33" spans="1:15" x14ac:dyDescent="0.2">
      <c r="A33" s="341">
        <v>31</v>
      </c>
      <c r="B33" s="187" t="s">
        <v>1347</v>
      </c>
      <c r="C33" s="187" t="s">
        <v>1218</v>
      </c>
      <c r="D33" s="43">
        <v>1</v>
      </c>
      <c r="E33" s="187">
        <v>14289.21</v>
      </c>
      <c r="F33" s="187">
        <v>2</v>
      </c>
      <c r="G33" s="187">
        <v>28578.42</v>
      </c>
      <c r="H33" s="187">
        <v>4059.01</v>
      </c>
      <c r="I33" s="187">
        <f t="shared" si="0"/>
        <v>1.1600009256420001</v>
      </c>
      <c r="J33" s="187">
        <v>0</v>
      </c>
      <c r="K33" s="187">
        <v>0</v>
      </c>
      <c r="L33" s="187">
        <f t="shared" si="1"/>
        <v>0</v>
      </c>
      <c r="M33" s="187">
        <v>28578.42</v>
      </c>
      <c r="N33" s="188" t="s">
        <v>1348</v>
      </c>
      <c r="O33" s="191" t="s">
        <v>1349</v>
      </c>
    </row>
    <row r="34" spans="1:15" x14ac:dyDescent="0.2">
      <c r="A34" s="341">
        <v>32</v>
      </c>
      <c r="B34" s="187" t="s">
        <v>1285</v>
      </c>
      <c r="C34" s="187" t="s">
        <v>1286</v>
      </c>
      <c r="D34" s="43">
        <v>1</v>
      </c>
      <c r="E34" s="187">
        <v>80774</v>
      </c>
      <c r="F34" s="187">
        <v>1.7</v>
      </c>
      <c r="G34" s="187">
        <v>137315.79999999999</v>
      </c>
      <c r="H34" s="187">
        <v>4587.96</v>
      </c>
      <c r="I34" s="187">
        <f t="shared" si="0"/>
        <v>6.2999939776799998</v>
      </c>
      <c r="J34" s="187">
        <v>0</v>
      </c>
      <c r="K34" s="187">
        <v>0</v>
      </c>
      <c r="L34" s="187">
        <f t="shared" si="1"/>
        <v>0</v>
      </c>
      <c r="M34" s="187">
        <v>137315.79999999999</v>
      </c>
      <c r="N34" s="188"/>
      <c r="O34" s="187"/>
    </row>
    <row r="35" spans="1:15" s="414" customFormat="1" x14ac:dyDescent="0.2">
      <c r="A35" s="402">
        <v>33</v>
      </c>
      <c r="B35" s="403" t="s">
        <v>1244</v>
      </c>
      <c r="C35" s="403" t="s">
        <v>1245</v>
      </c>
      <c r="D35" s="404">
        <v>1</v>
      </c>
      <c r="E35" s="403">
        <v>46068</v>
      </c>
      <c r="F35" s="403">
        <v>2.5</v>
      </c>
      <c r="G35" s="403">
        <v>115170</v>
      </c>
      <c r="H35" s="403">
        <v>12676.91</v>
      </c>
      <c r="I35" s="403">
        <f t="shared" ref="I35:I66" si="2">H35*G35/100000000</f>
        <v>14.599997247000001</v>
      </c>
      <c r="J35" s="403">
        <v>0</v>
      </c>
      <c r="K35" s="403">
        <v>0</v>
      </c>
      <c r="L35" s="403">
        <f t="shared" ref="L35:L66" si="3">K35*D35</f>
        <v>0</v>
      </c>
      <c r="M35" s="403">
        <v>115170</v>
      </c>
      <c r="N35" s="405" t="s">
        <v>1246</v>
      </c>
      <c r="O35" s="403"/>
    </row>
    <row r="36" spans="1:15" s="413" customFormat="1" x14ac:dyDescent="0.2">
      <c r="A36" s="408">
        <v>34</v>
      </c>
      <c r="B36" s="409" t="s">
        <v>1247</v>
      </c>
      <c r="C36" s="409" t="s">
        <v>1248</v>
      </c>
      <c r="D36" s="410">
        <v>1</v>
      </c>
      <c r="E36" s="409">
        <v>46795</v>
      </c>
      <c r="F36" s="409">
        <v>2</v>
      </c>
      <c r="G36" s="409">
        <v>93590</v>
      </c>
      <c r="H36" s="409">
        <v>15281.55</v>
      </c>
      <c r="I36" s="409">
        <f t="shared" si="2"/>
        <v>14.302002645</v>
      </c>
      <c r="J36" s="409">
        <v>0</v>
      </c>
      <c r="K36" s="409">
        <v>0</v>
      </c>
      <c r="L36" s="409">
        <f t="shared" si="3"/>
        <v>0</v>
      </c>
      <c r="M36" s="409">
        <v>93590</v>
      </c>
      <c r="N36" s="411" t="s">
        <v>1249</v>
      </c>
      <c r="O36" s="412" t="s">
        <v>1250</v>
      </c>
    </row>
    <row r="37" spans="1:15" x14ac:dyDescent="0.2">
      <c r="A37" s="341">
        <v>35</v>
      </c>
      <c r="B37" s="187" t="s">
        <v>1310</v>
      </c>
      <c r="C37" s="187" t="s">
        <v>1311</v>
      </c>
      <c r="D37" s="43">
        <v>1</v>
      </c>
      <c r="E37" s="187">
        <v>84136.3</v>
      </c>
      <c r="F37" s="187">
        <v>2</v>
      </c>
      <c r="G37" s="187">
        <v>168272.6</v>
      </c>
      <c r="H37" s="187">
        <v>2454.23</v>
      </c>
      <c r="I37" s="187">
        <f t="shared" si="2"/>
        <v>4.1297966309799996</v>
      </c>
      <c r="J37" s="187">
        <v>0</v>
      </c>
      <c r="K37" s="187">
        <v>0</v>
      </c>
      <c r="L37" s="187">
        <f t="shared" si="3"/>
        <v>0</v>
      </c>
      <c r="M37" s="187">
        <v>168272.6</v>
      </c>
      <c r="N37" s="188"/>
      <c r="O37" s="187"/>
    </row>
    <row r="38" spans="1:15" s="432" customFormat="1" x14ac:dyDescent="0.2">
      <c r="A38" s="343">
        <v>36</v>
      </c>
      <c r="B38" s="189" t="s">
        <v>1240</v>
      </c>
      <c r="C38" s="189" t="s">
        <v>1241</v>
      </c>
      <c r="D38" s="391">
        <v>1</v>
      </c>
      <c r="E38" s="189">
        <v>735700</v>
      </c>
      <c r="F38" s="189">
        <v>2.4700000000000002</v>
      </c>
      <c r="G38" s="189">
        <v>1817179</v>
      </c>
      <c r="H38" s="189">
        <v>897.09</v>
      </c>
      <c r="I38" s="189">
        <f t="shared" si="2"/>
        <v>16.301731091100002</v>
      </c>
      <c r="J38" s="189">
        <v>84914.49</v>
      </c>
      <c r="K38" s="189">
        <v>106233</v>
      </c>
      <c r="L38" s="189">
        <f t="shared" si="3"/>
        <v>106233</v>
      </c>
      <c r="M38" s="189">
        <v>375934</v>
      </c>
      <c r="N38" s="190" t="s">
        <v>1242</v>
      </c>
      <c r="O38" s="447" t="s">
        <v>1243</v>
      </c>
    </row>
    <row r="39" spans="1:15" x14ac:dyDescent="0.2">
      <c r="A39" s="341">
        <v>37</v>
      </c>
      <c r="B39" s="187" t="s">
        <v>1328</v>
      </c>
      <c r="C39" s="187" t="s">
        <v>1241</v>
      </c>
      <c r="D39" s="43">
        <v>1</v>
      </c>
      <c r="E39" s="187">
        <v>98221</v>
      </c>
      <c r="F39" s="187">
        <v>3.26</v>
      </c>
      <c r="G39" s="187">
        <v>320004.02</v>
      </c>
      <c r="H39" s="187">
        <v>1009.39</v>
      </c>
      <c r="I39" s="187">
        <f t="shared" si="2"/>
        <v>3.2300885774779999</v>
      </c>
      <c r="J39" s="187">
        <v>24939.4</v>
      </c>
      <c r="K39" s="187">
        <v>39406.61</v>
      </c>
      <c r="L39" s="187">
        <f t="shared" si="3"/>
        <v>39406.61</v>
      </c>
      <c r="M39" s="187">
        <v>26921</v>
      </c>
      <c r="N39" s="188"/>
      <c r="O39" s="187"/>
    </row>
    <row r="40" spans="1:15" s="407" customFormat="1" x14ac:dyDescent="0.2">
      <c r="A40" s="402">
        <v>38</v>
      </c>
      <c r="B40" s="403" t="s">
        <v>1268</v>
      </c>
      <c r="C40" s="403" t="s">
        <v>371</v>
      </c>
      <c r="D40" s="404">
        <v>0.75</v>
      </c>
      <c r="E40" s="403">
        <v>90589</v>
      </c>
      <c r="F40" s="403">
        <v>2.2999999999999998</v>
      </c>
      <c r="G40" s="403">
        <v>208354.7</v>
      </c>
      <c r="H40" s="403">
        <v>4559.53</v>
      </c>
      <c r="I40" s="403">
        <f t="shared" si="2"/>
        <v>9.4999950529100001</v>
      </c>
      <c r="J40" s="403">
        <v>0</v>
      </c>
      <c r="K40" s="403">
        <v>0</v>
      </c>
      <c r="L40" s="403">
        <f t="shared" si="3"/>
        <v>0</v>
      </c>
      <c r="M40" s="403">
        <v>208354.7</v>
      </c>
      <c r="N40" s="405" t="s">
        <v>1269</v>
      </c>
      <c r="O40" s="406" t="s">
        <v>1270</v>
      </c>
    </row>
    <row r="41" spans="1:15" x14ac:dyDescent="0.2">
      <c r="A41" s="342">
        <v>39</v>
      </c>
      <c r="B41" s="193" t="s">
        <v>1275</v>
      </c>
      <c r="C41" s="193" t="s">
        <v>1066</v>
      </c>
      <c r="D41" s="392">
        <v>1</v>
      </c>
      <c r="E41" s="193">
        <v>26667</v>
      </c>
      <c r="F41" s="193">
        <v>3.2</v>
      </c>
      <c r="G41" s="193">
        <v>85334.399999999994</v>
      </c>
      <c r="H41" s="193">
        <v>9960.81</v>
      </c>
      <c r="I41" s="193">
        <f t="shared" si="2"/>
        <v>8.4999974486399985</v>
      </c>
      <c r="J41" s="193">
        <v>0</v>
      </c>
      <c r="K41" s="193">
        <v>0</v>
      </c>
      <c r="L41" s="193">
        <f t="shared" si="3"/>
        <v>0</v>
      </c>
      <c r="M41" s="193">
        <v>85334.399999999994</v>
      </c>
      <c r="N41" s="194" t="s">
        <v>1242</v>
      </c>
      <c r="O41" s="195" t="s">
        <v>1276</v>
      </c>
    </row>
    <row r="42" spans="1:15" s="383" customFormat="1" x14ac:dyDescent="0.2">
      <c r="A42" s="379">
        <v>40</v>
      </c>
      <c r="B42" s="380" t="s">
        <v>1237</v>
      </c>
      <c r="C42" s="380" t="s">
        <v>1066</v>
      </c>
      <c r="D42" s="393">
        <v>1</v>
      </c>
      <c r="E42" s="380">
        <v>162543</v>
      </c>
      <c r="F42" s="380">
        <v>2</v>
      </c>
      <c r="G42" s="380">
        <v>325086</v>
      </c>
      <c r="H42" s="380">
        <v>5198.59</v>
      </c>
      <c r="I42" s="380">
        <f t="shared" si="2"/>
        <v>16.8998882874</v>
      </c>
      <c r="J42" s="380">
        <v>0</v>
      </c>
      <c r="K42" s="380">
        <v>0</v>
      </c>
      <c r="L42" s="380">
        <f t="shared" si="3"/>
        <v>0</v>
      </c>
      <c r="M42" s="380">
        <v>325086</v>
      </c>
      <c r="N42" s="381" t="s">
        <v>1238</v>
      </c>
      <c r="O42" s="382" t="s">
        <v>1239</v>
      </c>
    </row>
    <row r="43" spans="1:15" x14ac:dyDescent="0.2">
      <c r="A43" s="341">
        <v>41</v>
      </c>
      <c r="B43" s="187" t="s">
        <v>1277</v>
      </c>
      <c r="C43" s="187" t="s">
        <v>1066</v>
      </c>
      <c r="D43" s="43">
        <v>1</v>
      </c>
      <c r="E43" s="187">
        <v>81664</v>
      </c>
      <c r="F43" s="187">
        <v>2</v>
      </c>
      <c r="G43" s="187">
        <v>163328</v>
      </c>
      <c r="H43" s="187">
        <v>4787.8500000000004</v>
      </c>
      <c r="I43" s="187">
        <f t="shared" si="2"/>
        <v>7.8198996480000007</v>
      </c>
      <c r="J43" s="187">
        <v>0</v>
      </c>
      <c r="K43" s="187">
        <v>0</v>
      </c>
      <c r="L43" s="187">
        <f t="shared" si="3"/>
        <v>0</v>
      </c>
      <c r="M43" s="187">
        <v>163328</v>
      </c>
      <c r="N43" s="188" t="s">
        <v>1238</v>
      </c>
      <c r="O43" s="191" t="s">
        <v>1278</v>
      </c>
    </row>
    <row r="44" spans="1:15" x14ac:dyDescent="0.2">
      <c r="A44" s="341">
        <v>42</v>
      </c>
      <c r="B44" s="187" t="s">
        <v>1327</v>
      </c>
      <c r="C44" s="187" t="s">
        <v>374</v>
      </c>
      <c r="D44" s="43">
        <v>1</v>
      </c>
      <c r="E44" s="187">
        <v>188365</v>
      </c>
      <c r="F44" s="187">
        <v>1</v>
      </c>
      <c r="G44" s="187">
        <v>188459.18</v>
      </c>
      <c r="H44" s="187">
        <v>1843.1</v>
      </c>
      <c r="I44" s="187">
        <f t="shared" si="2"/>
        <v>3.4734911465799998</v>
      </c>
      <c r="J44" s="187">
        <v>12023.85</v>
      </c>
      <c r="K44" s="187">
        <v>9585.24</v>
      </c>
      <c r="L44" s="187">
        <f t="shared" si="3"/>
        <v>9585.24</v>
      </c>
      <c r="M44" s="187">
        <v>122042.18</v>
      </c>
      <c r="N44" s="188"/>
      <c r="O44" s="187"/>
    </row>
    <row r="45" spans="1:15" x14ac:dyDescent="0.2">
      <c r="A45" s="341">
        <v>43</v>
      </c>
      <c r="B45" s="187" t="s">
        <v>1330</v>
      </c>
      <c r="C45" s="187" t="s">
        <v>408</v>
      </c>
      <c r="D45" s="43">
        <v>1</v>
      </c>
      <c r="E45" s="187">
        <v>152014</v>
      </c>
      <c r="F45" s="187">
        <v>1.75</v>
      </c>
      <c r="G45" s="187">
        <v>266024.5</v>
      </c>
      <c r="H45" s="187">
        <v>1149.3800000000001</v>
      </c>
      <c r="I45" s="187">
        <f t="shared" si="2"/>
        <v>3.0576323981</v>
      </c>
      <c r="J45" s="187">
        <v>46472.75</v>
      </c>
      <c r="K45" s="187">
        <v>26215.01</v>
      </c>
      <c r="L45" s="187">
        <f t="shared" si="3"/>
        <v>26215.01</v>
      </c>
      <c r="M45" s="187">
        <v>27420.99</v>
      </c>
      <c r="N45" s="188"/>
      <c r="O45" s="187"/>
    </row>
    <row r="46" spans="1:15" s="383" customFormat="1" ht="28.5" x14ac:dyDescent="0.2">
      <c r="A46" s="379">
        <v>44</v>
      </c>
      <c r="B46" s="380" t="s">
        <v>1339</v>
      </c>
      <c r="C46" s="380" t="s">
        <v>1340</v>
      </c>
      <c r="D46" s="449">
        <v>1</v>
      </c>
      <c r="E46" s="380">
        <v>397343</v>
      </c>
      <c r="F46" s="380">
        <v>2.5</v>
      </c>
      <c r="G46" s="380">
        <v>993357.5</v>
      </c>
      <c r="H46" s="380">
        <v>197.81</v>
      </c>
      <c r="I46" s="380">
        <f t="shared" si="2"/>
        <v>1.9649604707499999</v>
      </c>
      <c r="J46" s="380">
        <v>48690.86</v>
      </c>
      <c r="K46" s="380">
        <v>37626.82</v>
      </c>
      <c r="L46" s="380">
        <f t="shared" si="3"/>
        <v>37626.82</v>
      </c>
      <c r="M46" s="380">
        <v>910592.48</v>
      </c>
      <c r="N46" s="381" t="s">
        <v>1341</v>
      </c>
      <c r="O46" s="382" t="s">
        <v>1342</v>
      </c>
    </row>
    <row r="47" spans="1:15" x14ac:dyDescent="0.2">
      <c r="A47" s="341">
        <v>45</v>
      </c>
      <c r="B47" s="187" t="s">
        <v>1329</v>
      </c>
      <c r="C47" s="187" t="s">
        <v>382</v>
      </c>
      <c r="D47" s="43">
        <v>1</v>
      </c>
      <c r="E47" s="187">
        <v>67108</v>
      </c>
      <c r="F47" s="187">
        <v>2.4</v>
      </c>
      <c r="G47" s="187">
        <v>161059.20000000001</v>
      </c>
      <c r="H47" s="187">
        <v>2000</v>
      </c>
      <c r="I47" s="187">
        <f t="shared" si="2"/>
        <v>3.221184</v>
      </c>
      <c r="J47" s="187">
        <v>1226.8</v>
      </c>
      <c r="K47" s="187">
        <v>1161.19</v>
      </c>
      <c r="L47" s="187">
        <f t="shared" si="3"/>
        <v>1161.19</v>
      </c>
      <c r="M47" s="187">
        <v>34591</v>
      </c>
      <c r="N47" s="188"/>
      <c r="O47" s="187"/>
    </row>
    <row r="48" spans="1:15" x14ac:dyDescent="0.2">
      <c r="A48" s="341">
        <v>46</v>
      </c>
      <c r="B48" s="187" t="s">
        <v>1333</v>
      </c>
      <c r="C48" s="187" t="s">
        <v>382</v>
      </c>
      <c r="D48" s="43">
        <v>1</v>
      </c>
      <c r="E48" s="187">
        <v>17388</v>
      </c>
      <c r="F48" s="187">
        <v>3.2</v>
      </c>
      <c r="G48" s="187">
        <v>55641.599999999999</v>
      </c>
      <c r="H48" s="187">
        <v>2343.75</v>
      </c>
      <c r="I48" s="187">
        <f t="shared" si="2"/>
        <v>1.3041</v>
      </c>
      <c r="J48" s="187">
        <v>21745.14</v>
      </c>
      <c r="K48" s="187">
        <v>32455.19</v>
      </c>
      <c r="L48" s="187">
        <f t="shared" si="3"/>
        <v>32455.19</v>
      </c>
      <c r="M48" s="187">
        <v>294538</v>
      </c>
      <c r="N48" s="188"/>
      <c r="O48" s="187"/>
    </row>
    <row r="49" spans="1:15" x14ac:dyDescent="0.2">
      <c r="A49" s="341">
        <v>47</v>
      </c>
      <c r="B49" s="187" t="s">
        <v>1333</v>
      </c>
      <c r="C49" s="187" t="s">
        <v>382</v>
      </c>
      <c r="D49" s="43">
        <v>1</v>
      </c>
      <c r="E49" s="187">
        <v>20465</v>
      </c>
      <c r="F49" s="187">
        <v>5.42</v>
      </c>
      <c r="G49" s="187">
        <v>110920.3</v>
      </c>
      <c r="H49" s="187">
        <v>1383.76</v>
      </c>
      <c r="I49" s="187">
        <f t="shared" si="2"/>
        <v>1.5348707432800002</v>
      </c>
      <c r="J49" s="187">
        <v>0</v>
      </c>
      <c r="K49" s="187">
        <v>0</v>
      </c>
      <c r="L49" s="187">
        <f t="shared" si="3"/>
        <v>0</v>
      </c>
      <c r="M49" s="187"/>
      <c r="N49" s="188"/>
      <c r="O49" s="187"/>
    </row>
    <row r="50" spans="1:15" x14ac:dyDescent="0.2">
      <c r="A50" s="341">
        <v>48</v>
      </c>
      <c r="B50" s="187" t="s">
        <v>1333</v>
      </c>
      <c r="C50" s="187" t="s">
        <v>382</v>
      </c>
      <c r="D50" s="43">
        <v>1</v>
      </c>
      <c r="E50" s="187">
        <v>35914</v>
      </c>
      <c r="F50" s="187">
        <v>5.86</v>
      </c>
      <c r="G50" s="187">
        <v>210456.04</v>
      </c>
      <c r="H50" s="187">
        <v>1279.8599999999999</v>
      </c>
      <c r="I50" s="187">
        <f t="shared" si="2"/>
        <v>2.693542673544</v>
      </c>
      <c r="J50" s="187">
        <v>0</v>
      </c>
      <c r="K50" s="187">
        <v>0</v>
      </c>
      <c r="L50" s="187">
        <f t="shared" si="3"/>
        <v>0</v>
      </c>
      <c r="M50" s="187"/>
      <c r="N50" s="188" t="s">
        <v>1334</v>
      </c>
      <c r="O50" s="191" t="s">
        <v>1335</v>
      </c>
    </row>
    <row r="51" spans="1:15" x14ac:dyDescent="0.2">
      <c r="A51" s="341">
        <v>49</v>
      </c>
      <c r="B51" s="187" t="s">
        <v>1312</v>
      </c>
      <c r="C51" s="187" t="s">
        <v>1313</v>
      </c>
      <c r="D51" s="43">
        <v>1</v>
      </c>
      <c r="E51" s="187">
        <v>603665</v>
      </c>
      <c r="F51" s="187">
        <v>0.69</v>
      </c>
      <c r="G51" s="187">
        <v>416528.85</v>
      </c>
      <c r="H51" s="187">
        <v>985.38</v>
      </c>
      <c r="I51" s="187">
        <f t="shared" si="2"/>
        <v>4.1043919821300001</v>
      </c>
      <c r="J51" s="187">
        <v>50807.68</v>
      </c>
      <c r="K51" s="187">
        <v>43917.15</v>
      </c>
      <c r="L51" s="187">
        <f t="shared" si="3"/>
        <v>43917.15</v>
      </c>
      <c r="M51" s="187">
        <v>365721.17</v>
      </c>
      <c r="N51" s="188" t="s">
        <v>1314</v>
      </c>
      <c r="O51" s="191" t="s">
        <v>1315</v>
      </c>
    </row>
    <row r="52" spans="1:15" x14ac:dyDescent="0.2">
      <c r="A52" s="341">
        <v>50</v>
      </c>
      <c r="B52" s="187" t="s">
        <v>1350</v>
      </c>
      <c r="C52" s="187" t="s">
        <v>1351</v>
      </c>
      <c r="D52" s="43">
        <v>1</v>
      </c>
      <c r="E52" s="187">
        <v>134377</v>
      </c>
      <c r="F52" s="187">
        <v>0.6</v>
      </c>
      <c r="G52" s="187">
        <v>80626.2</v>
      </c>
      <c r="H52" s="187">
        <v>1337.65</v>
      </c>
      <c r="I52" s="187">
        <f t="shared" si="2"/>
        <v>1.0784963643000001</v>
      </c>
      <c r="J52" s="187">
        <v>12001.24</v>
      </c>
      <c r="K52" s="187">
        <v>10388.68</v>
      </c>
      <c r="L52" s="187">
        <f t="shared" si="3"/>
        <v>10388.68</v>
      </c>
      <c r="M52" s="187">
        <v>68624.960000000006</v>
      </c>
      <c r="N52" s="188"/>
      <c r="O52" s="187"/>
    </row>
    <row r="53" spans="1:15" x14ac:dyDescent="0.2">
      <c r="A53" s="341">
        <v>51</v>
      </c>
      <c r="B53" s="187" t="s">
        <v>1357</v>
      </c>
      <c r="C53" s="187" t="s">
        <v>1358</v>
      </c>
      <c r="D53" s="43">
        <v>1</v>
      </c>
      <c r="E53" s="187">
        <v>370366</v>
      </c>
      <c r="F53" s="187">
        <v>1.6</v>
      </c>
      <c r="G53" s="187">
        <v>592585.6</v>
      </c>
      <c r="H53" s="187">
        <v>153.41</v>
      </c>
      <c r="I53" s="187">
        <f t="shared" si="2"/>
        <v>0.90908556895999992</v>
      </c>
      <c r="J53" s="187">
        <v>25311.1</v>
      </c>
      <c r="K53" s="187">
        <v>22567.33</v>
      </c>
      <c r="L53" s="187">
        <f t="shared" si="3"/>
        <v>22567.33</v>
      </c>
      <c r="M53" s="187">
        <v>14094.26</v>
      </c>
      <c r="N53" s="188"/>
      <c r="O53" s="187"/>
    </row>
    <row r="54" spans="1:15" x14ac:dyDescent="0.2">
      <c r="A54" s="341">
        <v>52</v>
      </c>
      <c r="B54" s="187" t="s">
        <v>1344</v>
      </c>
      <c r="C54" s="187" t="s">
        <v>1345</v>
      </c>
      <c r="D54" s="43">
        <v>1</v>
      </c>
      <c r="E54" s="187">
        <v>105608</v>
      </c>
      <c r="F54" s="187">
        <v>0.86</v>
      </c>
      <c r="G54" s="187">
        <v>90822.88</v>
      </c>
      <c r="H54" s="187">
        <v>2030.33</v>
      </c>
      <c r="I54" s="187">
        <f t="shared" si="2"/>
        <v>1.8440041795039999</v>
      </c>
      <c r="J54" s="187">
        <v>13680.74</v>
      </c>
      <c r="K54" s="187">
        <v>18507.240000000002</v>
      </c>
      <c r="L54" s="187">
        <f t="shared" si="3"/>
        <v>18507.240000000002</v>
      </c>
      <c r="M54" s="187">
        <v>77142.14</v>
      </c>
      <c r="N54" s="188"/>
      <c r="O54" s="187"/>
    </row>
    <row r="55" spans="1:15" x14ac:dyDescent="0.2">
      <c r="A55" s="341">
        <v>53</v>
      </c>
      <c r="B55" s="187" t="s">
        <v>1267</v>
      </c>
      <c r="C55" s="187" t="s">
        <v>370</v>
      </c>
      <c r="D55" s="43">
        <v>1</v>
      </c>
      <c r="E55" s="187">
        <v>504800</v>
      </c>
      <c r="F55" s="187">
        <v>1.23</v>
      </c>
      <c r="G55" s="187">
        <v>620904</v>
      </c>
      <c r="H55" s="187">
        <v>1547.92</v>
      </c>
      <c r="I55" s="187">
        <f t="shared" si="2"/>
        <v>9.6110971968000012</v>
      </c>
      <c r="J55" s="187">
        <v>46822.79</v>
      </c>
      <c r="K55" s="187">
        <v>42546.82</v>
      </c>
      <c r="L55" s="187">
        <f t="shared" si="3"/>
        <v>42546.82</v>
      </c>
      <c r="M55" s="187">
        <v>138452.67000000001</v>
      </c>
      <c r="N55" s="188"/>
      <c r="O55" s="187"/>
    </row>
    <row r="56" spans="1:15" x14ac:dyDescent="0.2">
      <c r="A56" s="341">
        <v>54</v>
      </c>
      <c r="B56" s="187" t="s">
        <v>1233</v>
      </c>
      <c r="C56" s="187" t="s">
        <v>370</v>
      </c>
      <c r="D56" s="43">
        <v>1</v>
      </c>
      <c r="E56" s="187">
        <v>351992</v>
      </c>
      <c r="F56" s="187">
        <v>2</v>
      </c>
      <c r="G56" s="187">
        <v>703984</v>
      </c>
      <c r="H56" s="187">
        <v>2647.79</v>
      </c>
      <c r="I56" s="187">
        <f t="shared" si="2"/>
        <v>18.640017953599997</v>
      </c>
      <c r="J56" s="187">
        <v>75677.83</v>
      </c>
      <c r="K56" s="187">
        <v>57998.09</v>
      </c>
      <c r="L56" s="187">
        <f t="shared" si="3"/>
        <v>57998.09</v>
      </c>
      <c r="M56" s="187">
        <v>366254.12</v>
      </c>
      <c r="N56" s="188"/>
      <c r="O56" s="187"/>
    </row>
    <row r="57" spans="1:15" s="432" customFormat="1" x14ac:dyDescent="0.2">
      <c r="A57" s="430">
        <v>55</v>
      </c>
      <c r="B57" s="431" t="s">
        <v>1272</v>
      </c>
      <c r="C57" s="431" t="s">
        <v>389</v>
      </c>
      <c r="D57" s="391">
        <v>1</v>
      </c>
      <c r="E57" s="431">
        <v>417662</v>
      </c>
      <c r="F57" s="431">
        <v>2.2000000000000002</v>
      </c>
      <c r="G57" s="431">
        <v>918856.4</v>
      </c>
      <c r="H57" s="431">
        <v>975.56</v>
      </c>
      <c r="I57" s="431">
        <f t="shared" si="2"/>
        <v>8.9639954958400008</v>
      </c>
      <c r="J57" s="431">
        <v>182880.71</v>
      </c>
      <c r="K57" s="431">
        <v>116249.45</v>
      </c>
      <c r="L57" s="431">
        <f t="shared" si="3"/>
        <v>116249.45</v>
      </c>
      <c r="M57" s="431">
        <v>175144.21</v>
      </c>
      <c r="N57" s="190"/>
      <c r="O57" s="431"/>
    </row>
    <row r="58" spans="1:15" x14ac:dyDescent="0.2">
      <c r="A58" s="341">
        <v>56</v>
      </c>
      <c r="B58" s="187" t="s">
        <v>1307</v>
      </c>
      <c r="C58" s="187" t="s">
        <v>1308</v>
      </c>
      <c r="D58" s="43">
        <v>1</v>
      </c>
      <c r="E58" s="187">
        <v>165833</v>
      </c>
      <c r="F58" s="187">
        <v>3</v>
      </c>
      <c r="G58" s="187">
        <v>497499</v>
      </c>
      <c r="H58" s="187">
        <v>839.8</v>
      </c>
      <c r="I58" s="187">
        <f t="shared" si="2"/>
        <v>4.1779966019999994</v>
      </c>
      <c r="J58" s="187">
        <v>124627</v>
      </c>
      <c r="K58" s="187">
        <v>75874.679999999993</v>
      </c>
      <c r="L58" s="187">
        <f t="shared" si="3"/>
        <v>75874.679999999993</v>
      </c>
      <c r="M58" s="187">
        <v>29927.1</v>
      </c>
      <c r="N58" s="188"/>
      <c r="O58" s="187"/>
    </row>
    <row r="59" spans="1:15" x14ac:dyDescent="0.2">
      <c r="A59" s="341">
        <v>57</v>
      </c>
      <c r="B59" s="187" t="s">
        <v>1280</v>
      </c>
      <c r="C59" s="187" t="s">
        <v>377</v>
      </c>
      <c r="D59" s="43">
        <v>1</v>
      </c>
      <c r="E59" s="187">
        <v>439513</v>
      </c>
      <c r="F59" s="187">
        <v>2</v>
      </c>
      <c r="G59" s="187">
        <v>879026</v>
      </c>
      <c r="H59" s="187">
        <v>770.92</v>
      </c>
      <c r="I59" s="187">
        <f t="shared" si="2"/>
        <v>6.7765872391999995</v>
      </c>
      <c r="J59" s="187">
        <v>3306.9</v>
      </c>
      <c r="K59" s="187">
        <v>4286.34</v>
      </c>
      <c r="L59" s="187">
        <f t="shared" si="3"/>
        <v>4286.34</v>
      </c>
      <c r="M59" s="187">
        <v>93815</v>
      </c>
      <c r="N59" s="188"/>
      <c r="O59" s="187"/>
    </row>
    <row r="60" spans="1:15" x14ac:dyDescent="0.2">
      <c r="A60" s="341">
        <v>58</v>
      </c>
      <c r="B60" s="187" t="s">
        <v>1281</v>
      </c>
      <c r="C60" s="187" t="s">
        <v>377</v>
      </c>
      <c r="D60" s="43">
        <v>1</v>
      </c>
      <c r="E60" s="187">
        <v>88785</v>
      </c>
      <c r="F60" s="187">
        <v>2.1</v>
      </c>
      <c r="G60" s="187">
        <v>186448.5</v>
      </c>
      <c r="H60" s="187">
        <v>3633.33</v>
      </c>
      <c r="I60" s="187">
        <f t="shared" si="2"/>
        <v>6.7742892850500001</v>
      </c>
      <c r="J60" s="187">
        <v>13653.73</v>
      </c>
      <c r="K60" s="187">
        <v>32634.18</v>
      </c>
      <c r="L60" s="187">
        <f t="shared" si="3"/>
        <v>32634.18</v>
      </c>
      <c r="M60" s="187">
        <v>11036.41</v>
      </c>
      <c r="N60" s="188"/>
      <c r="O60" s="187"/>
    </row>
    <row r="61" spans="1:15" x14ac:dyDescent="0.2">
      <c r="A61" s="341">
        <v>59</v>
      </c>
      <c r="B61" s="187" t="s">
        <v>1252</v>
      </c>
      <c r="C61" s="187" t="s">
        <v>377</v>
      </c>
      <c r="D61" s="43">
        <v>1</v>
      </c>
      <c r="E61" s="187">
        <v>233532</v>
      </c>
      <c r="F61" s="187">
        <v>2.2000000000000002</v>
      </c>
      <c r="G61" s="187">
        <v>513770.4</v>
      </c>
      <c r="H61" s="187">
        <v>2702.82</v>
      </c>
      <c r="I61" s="187">
        <f t="shared" si="2"/>
        <v>13.886289125280001</v>
      </c>
      <c r="J61" s="187">
        <v>24989.66</v>
      </c>
      <c r="K61" s="187">
        <v>30447.26</v>
      </c>
      <c r="L61" s="187">
        <f t="shared" si="3"/>
        <v>30447.26</v>
      </c>
      <c r="M61" s="187">
        <v>150739.26999999999</v>
      </c>
      <c r="N61" s="188"/>
      <c r="O61" s="187"/>
    </row>
    <row r="62" spans="1:15" x14ac:dyDescent="0.2">
      <c r="A62" s="341">
        <v>60</v>
      </c>
      <c r="B62" s="187" t="s">
        <v>1319</v>
      </c>
      <c r="C62" s="187" t="s">
        <v>377</v>
      </c>
      <c r="D62" s="43">
        <v>1</v>
      </c>
      <c r="E62" s="187">
        <v>99264</v>
      </c>
      <c r="F62" s="187">
        <v>1.8</v>
      </c>
      <c r="G62" s="187">
        <v>178675.20000000001</v>
      </c>
      <c r="H62" s="187">
        <v>2125</v>
      </c>
      <c r="I62" s="187">
        <f t="shared" si="2"/>
        <v>3.7968479999999998</v>
      </c>
      <c r="J62" s="187">
        <v>140047.04000000001</v>
      </c>
      <c r="K62" s="187">
        <v>182518.49</v>
      </c>
      <c r="L62" s="187">
        <f t="shared" si="3"/>
        <v>182518.49</v>
      </c>
      <c r="M62" s="187">
        <v>38628.160000000003</v>
      </c>
      <c r="N62" s="188"/>
      <c r="O62" s="187"/>
    </row>
    <row r="63" spans="1:15" s="407" customFormat="1" x14ac:dyDescent="0.2">
      <c r="A63" s="402">
        <v>61</v>
      </c>
      <c r="B63" s="403" t="s">
        <v>1279</v>
      </c>
      <c r="C63" s="403" t="s">
        <v>377</v>
      </c>
      <c r="D63" s="404">
        <v>1</v>
      </c>
      <c r="E63" s="403">
        <v>113195</v>
      </c>
      <c r="F63" s="403">
        <v>2.1</v>
      </c>
      <c r="G63" s="403">
        <v>237709.5</v>
      </c>
      <c r="H63" s="403">
        <v>3184.56</v>
      </c>
      <c r="I63" s="403">
        <f t="shared" si="2"/>
        <v>7.5700016531999994</v>
      </c>
      <c r="J63" s="403">
        <v>0</v>
      </c>
      <c r="K63" s="403">
        <v>0</v>
      </c>
      <c r="L63" s="403">
        <f t="shared" si="3"/>
        <v>0</v>
      </c>
      <c r="M63" s="403">
        <v>237709.5</v>
      </c>
      <c r="N63" s="405"/>
      <c r="O63" s="403"/>
    </row>
    <row r="64" spans="1:15" x14ac:dyDescent="0.2">
      <c r="A64" s="341">
        <v>62</v>
      </c>
      <c r="B64" s="187" t="s">
        <v>1323</v>
      </c>
      <c r="C64" s="187" t="s">
        <v>377</v>
      </c>
      <c r="D64" s="43">
        <v>0.7</v>
      </c>
      <c r="E64" s="187">
        <v>52569</v>
      </c>
      <c r="F64" s="187">
        <v>2</v>
      </c>
      <c r="G64" s="187">
        <v>105138</v>
      </c>
      <c r="H64" s="187">
        <v>3559.04</v>
      </c>
      <c r="I64" s="187">
        <f t="shared" si="2"/>
        <v>3.7419034752</v>
      </c>
      <c r="J64" s="187">
        <v>0</v>
      </c>
      <c r="K64" s="187">
        <v>0</v>
      </c>
      <c r="L64" s="187">
        <f t="shared" si="3"/>
        <v>0</v>
      </c>
      <c r="M64" s="187">
        <v>105138</v>
      </c>
      <c r="N64" s="188"/>
      <c r="O64" s="187"/>
    </row>
    <row r="65" spans="1:15" x14ac:dyDescent="0.2">
      <c r="A65" s="341">
        <v>63</v>
      </c>
      <c r="B65" s="187" t="s">
        <v>1282</v>
      </c>
      <c r="C65" s="187" t="s">
        <v>377</v>
      </c>
      <c r="D65" s="43">
        <v>0.5</v>
      </c>
      <c r="E65" s="187">
        <v>63285</v>
      </c>
      <c r="F65" s="187">
        <v>2.2000000000000002</v>
      </c>
      <c r="G65" s="187">
        <v>139227</v>
      </c>
      <c r="H65" s="187">
        <v>4823.6400000000003</v>
      </c>
      <c r="I65" s="187">
        <f t="shared" si="2"/>
        <v>6.7158092628000006</v>
      </c>
      <c r="J65" s="187">
        <v>0</v>
      </c>
      <c r="K65" s="187">
        <v>0</v>
      </c>
      <c r="L65" s="187">
        <f t="shared" si="3"/>
        <v>0</v>
      </c>
      <c r="M65" s="187">
        <v>139227</v>
      </c>
      <c r="N65" s="188"/>
      <c r="O65" s="187"/>
    </row>
    <row r="66" spans="1:15" x14ac:dyDescent="0.2">
      <c r="A66" s="341">
        <v>64</v>
      </c>
      <c r="B66" s="187" t="s">
        <v>1227</v>
      </c>
      <c r="C66" s="187" t="s">
        <v>1228</v>
      </c>
      <c r="D66" s="43">
        <v>1</v>
      </c>
      <c r="E66" s="187">
        <v>605085</v>
      </c>
      <c r="F66" s="187">
        <v>3.21</v>
      </c>
      <c r="G66" s="187">
        <v>1942322.85</v>
      </c>
      <c r="H66" s="187">
        <v>1116.71</v>
      </c>
      <c r="I66" s="187">
        <f t="shared" si="2"/>
        <v>21.690113498235</v>
      </c>
      <c r="J66" s="187">
        <v>83648.539999999994</v>
      </c>
      <c r="K66" s="187">
        <v>145129.13</v>
      </c>
      <c r="L66" s="187">
        <f t="shared" si="3"/>
        <v>145129.13</v>
      </c>
      <c r="M66" s="187">
        <v>811353.84</v>
      </c>
      <c r="N66" s="188"/>
      <c r="O66" s="187"/>
    </row>
    <row r="67" spans="1:15" x14ac:dyDescent="0.2">
      <c r="A67" s="341">
        <v>65</v>
      </c>
      <c r="B67" s="187" t="s">
        <v>1326</v>
      </c>
      <c r="C67" s="187" t="s">
        <v>1228</v>
      </c>
      <c r="D67" s="43">
        <v>1</v>
      </c>
      <c r="E67" s="187">
        <v>448837</v>
      </c>
      <c r="F67" s="187">
        <v>2.5</v>
      </c>
      <c r="G67" s="187">
        <v>1122092.5</v>
      </c>
      <c r="H67" s="187">
        <v>321.82</v>
      </c>
      <c r="I67" s="187">
        <f t="shared" ref="I67:I89" si="4">H67*G67/100000000</f>
        <v>3.6111180834999996</v>
      </c>
      <c r="J67" s="187">
        <v>142005.04999999999</v>
      </c>
      <c r="K67" s="187">
        <v>204830.41</v>
      </c>
      <c r="L67" s="187">
        <f t="shared" ref="L67:L89" si="5">K67*D67</f>
        <v>204830.41</v>
      </c>
      <c r="M67" s="187">
        <v>265544.33</v>
      </c>
      <c r="N67" s="188"/>
      <c r="O67" s="187"/>
    </row>
    <row r="68" spans="1:15" x14ac:dyDescent="0.2">
      <c r="A68" s="341">
        <v>66</v>
      </c>
      <c r="B68" s="187" t="s">
        <v>1302</v>
      </c>
      <c r="C68" s="187" t="s">
        <v>1228</v>
      </c>
      <c r="D68" s="43">
        <v>0.34</v>
      </c>
      <c r="E68" s="187">
        <v>71284.460000000006</v>
      </c>
      <c r="F68" s="187">
        <v>1.7</v>
      </c>
      <c r="G68" s="187">
        <v>121183.58</v>
      </c>
      <c r="H68" s="187">
        <v>3858.77</v>
      </c>
      <c r="I68" s="187">
        <f t="shared" si="4"/>
        <v>4.6761956299660001</v>
      </c>
      <c r="J68" s="187">
        <v>0</v>
      </c>
      <c r="K68" s="187">
        <v>0</v>
      </c>
      <c r="L68" s="187">
        <f t="shared" si="5"/>
        <v>0</v>
      </c>
      <c r="M68" s="187">
        <v>67287.539999999994</v>
      </c>
      <c r="N68" s="188"/>
      <c r="O68" s="187"/>
    </row>
    <row r="69" spans="1:15" x14ac:dyDescent="0.2">
      <c r="A69" s="341">
        <v>67</v>
      </c>
      <c r="B69" s="187" t="s">
        <v>1255</v>
      </c>
      <c r="C69" s="187" t="s">
        <v>1228</v>
      </c>
      <c r="D69" s="43">
        <v>0.33300000000000002</v>
      </c>
      <c r="E69" s="187">
        <v>134000.79999999999</v>
      </c>
      <c r="F69" s="187">
        <v>1.56</v>
      </c>
      <c r="G69" s="187">
        <v>209134.85</v>
      </c>
      <c r="H69" s="187">
        <v>5948.7</v>
      </c>
      <c r="I69" s="187">
        <f t="shared" si="4"/>
        <v>12.44080482195</v>
      </c>
      <c r="J69" s="187">
        <v>0</v>
      </c>
      <c r="K69" s="187">
        <v>0</v>
      </c>
      <c r="L69" s="187">
        <f t="shared" si="5"/>
        <v>0</v>
      </c>
      <c r="M69" s="187">
        <v>209134.85</v>
      </c>
      <c r="N69" s="188"/>
      <c r="O69" s="187"/>
    </row>
    <row r="70" spans="1:15" x14ac:dyDescent="0.2">
      <c r="A70" s="341">
        <v>68</v>
      </c>
      <c r="B70" s="187" t="s">
        <v>1297</v>
      </c>
      <c r="C70" s="187" t="s">
        <v>1298</v>
      </c>
      <c r="D70" s="43">
        <v>0.3</v>
      </c>
      <c r="E70" s="187">
        <v>115610</v>
      </c>
      <c r="F70" s="187">
        <v>2</v>
      </c>
      <c r="G70" s="187">
        <v>231220</v>
      </c>
      <c r="H70" s="187">
        <v>2270</v>
      </c>
      <c r="I70" s="187">
        <f t="shared" si="4"/>
        <v>5.2486940000000004</v>
      </c>
      <c r="J70" s="187">
        <v>0</v>
      </c>
      <c r="K70" s="187">
        <v>0</v>
      </c>
      <c r="L70" s="187">
        <f t="shared" si="5"/>
        <v>0</v>
      </c>
      <c r="M70" s="187">
        <v>231220</v>
      </c>
      <c r="N70" s="188" t="s">
        <v>1299</v>
      </c>
      <c r="O70" s="187"/>
    </row>
    <row r="71" spans="1:15" s="407" customFormat="1" x14ac:dyDescent="0.2">
      <c r="A71" s="402">
        <v>69</v>
      </c>
      <c r="B71" s="403" t="s">
        <v>1256</v>
      </c>
      <c r="C71" s="403" t="s">
        <v>1257</v>
      </c>
      <c r="D71" s="404">
        <v>1</v>
      </c>
      <c r="E71" s="403">
        <v>145572.20000000001</v>
      </c>
      <c r="F71" s="403">
        <v>1.74</v>
      </c>
      <c r="G71" s="403">
        <v>253295.63</v>
      </c>
      <c r="H71" s="403">
        <v>4609.2</v>
      </c>
      <c r="I71" s="403">
        <f t="shared" si="4"/>
        <v>11.67490217796</v>
      </c>
      <c r="J71" s="403">
        <v>0</v>
      </c>
      <c r="K71" s="403">
        <v>0</v>
      </c>
      <c r="L71" s="403">
        <f t="shared" si="5"/>
        <v>0</v>
      </c>
      <c r="M71" s="403">
        <v>253295.63</v>
      </c>
      <c r="N71" s="405"/>
      <c r="O71" s="403"/>
    </row>
    <row r="72" spans="1:15" x14ac:dyDescent="0.2">
      <c r="A72" s="341">
        <v>70</v>
      </c>
      <c r="B72" s="187" t="s">
        <v>1292</v>
      </c>
      <c r="C72" s="187" t="s">
        <v>1293</v>
      </c>
      <c r="D72" s="43">
        <v>1</v>
      </c>
      <c r="E72" s="187">
        <v>41950.32</v>
      </c>
      <c r="F72" s="187">
        <v>2.2000000000000002</v>
      </c>
      <c r="G72" s="187">
        <v>92290.7</v>
      </c>
      <c r="H72" s="187">
        <v>5861.91</v>
      </c>
      <c r="I72" s="187">
        <f t="shared" si="4"/>
        <v>5.4099977723699997</v>
      </c>
      <c r="J72" s="187">
        <v>0</v>
      </c>
      <c r="K72" s="187">
        <v>0</v>
      </c>
      <c r="L72" s="187">
        <f t="shared" si="5"/>
        <v>0</v>
      </c>
      <c r="M72" s="187">
        <v>92290.7</v>
      </c>
      <c r="N72" s="188"/>
      <c r="O72" s="187"/>
    </row>
    <row r="73" spans="1:15" x14ac:dyDescent="0.2">
      <c r="A73" s="341">
        <v>71</v>
      </c>
      <c r="B73" s="187" t="s">
        <v>1288</v>
      </c>
      <c r="C73" s="187" t="s">
        <v>1257</v>
      </c>
      <c r="D73" s="43">
        <v>1</v>
      </c>
      <c r="E73" s="187">
        <v>226044</v>
      </c>
      <c r="F73" s="187">
        <v>1.24</v>
      </c>
      <c r="G73" s="187">
        <v>280294.56</v>
      </c>
      <c r="H73" s="187">
        <v>2000</v>
      </c>
      <c r="I73" s="187">
        <f t="shared" si="4"/>
        <v>5.6058912000000003</v>
      </c>
      <c r="J73" s="187">
        <v>24359.43</v>
      </c>
      <c r="K73" s="187">
        <v>24033.9</v>
      </c>
      <c r="L73" s="187">
        <f t="shared" si="5"/>
        <v>24033.9</v>
      </c>
      <c r="M73" s="187">
        <v>65762.210000000006</v>
      </c>
      <c r="N73" s="188"/>
      <c r="O73" s="187"/>
    </row>
    <row r="74" spans="1:15" x14ac:dyDescent="0.2">
      <c r="A74" s="341">
        <v>72</v>
      </c>
      <c r="B74" s="187" t="s">
        <v>1337</v>
      </c>
      <c r="C74" s="187" t="s">
        <v>1338</v>
      </c>
      <c r="D74" s="43">
        <v>1</v>
      </c>
      <c r="E74" s="187">
        <v>35906</v>
      </c>
      <c r="F74" s="187">
        <v>3</v>
      </c>
      <c r="G74" s="187">
        <v>107718</v>
      </c>
      <c r="H74" s="187">
        <v>1928.37</v>
      </c>
      <c r="I74" s="187">
        <f t="shared" si="4"/>
        <v>2.0772015966000001</v>
      </c>
      <c r="J74" s="187">
        <v>35969.68</v>
      </c>
      <c r="K74" s="187">
        <v>20643.330000000002</v>
      </c>
      <c r="L74" s="187">
        <f t="shared" si="5"/>
        <v>20643.330000000002</v>
      </c>
      <c r="M74" s="187">
        <v>50606.18</v>
      </c>
      <c r="N74" s="188"/>
      <c r="O74" s="187"/>
    </row>
    <row r="75" spans="1:15" s="407" customFormat="1" x14ac:dyDescent="0.2">
      <c r="A75" s="402">
        <v>73</v>
      </c>
      <c r="B75" s="403" t="s">
        <v>1229</v>
      </c>
      <c r="C75" s="403" t="s">
        <v>363</v>
      </c>
      <c r="D75" s="404">
        <v>1</v>
      </c>
      <c r="E75" s="403">
        <v>1063386</v>
      </c>
      <c r="F75" s="403">
        <v>2.0099999999999998</v>
      </c>
      <c r="G75" s="403">
        <v>2137405.86</v>
      </c>
      <c r="H75" s="403">
        <v>970.33</v>
      </c>
      <c r="I75" s="403">
        <f t="shared" si="4"/>
        <v>20.739890281337999</v>
      </c>
      <c r="J75" s="403">
        <v>202216.34</v>
      </c>
      <c r="K75" s="403">
        <v>178152.8</v>
      </c>
      <c r="L75" s="403">
        <f t="shared" si="5"/>
        <v>178152.8</v>
      </c>
      <c r="M75" s="403">
        <v>730559.68</v>
      </c>
      <c r="N75" s="405"/>
      <c r="O75" s="403"/>
    </row>
    <row r="76" spans="1:15" s="383" customFormat="1" x14ac:dyDescent="0.2">
      <c r="A76" s="379">
        <v>74</v>
      </c>
      <c r="B76" s="380" t="s">
        <v>1234</v>
      </c>
      <c r="C76" s="380" t="s">
        <v>1235</v>
      </c>
      <c r="D76" s="393">
        <v>1</v>
      </c>
      <c r="E76" s="380">
        <v>448689</v>
      </c>
      <c r="F76" s="380">
        <v>2.37</v>
      </c>
      <c r="G76" s="380">
        <v>1063392.93</v>
      </c>
      <c r="H76" s="380">
        <v>1705.86</v>
      </c>
      <c r="I76" s="380">
        <f t="shared" si="4"/>
        <v>18.139994635697999</v>
      </c>
      <c r="J76" s="380">
        <v>115119.58</v>
      </c>
      <c r="K76" s="380">
        <v>91634.89</v>
      </c>
      <c r="L76" s="380">
        <f t="shared" si="5"/>
        <v>91634.89</v>
      </c>
      <c r="M76" s="380">
        <v>689002.53</v>
      </c>
      <c r="N76" s="381"/>
      <c r="O76" s="380"/>
    </row>
    <row r="77" spans="1:15" x14ac:dyDescent="0.2">
      <c r="A77" s="341">
        <v>75</v>
      </c>
      <c r="B77" s="187" t="s">
        <v>1343</v>
      </c>
      <c r="C77" s="187" t="s">
        <v>1295</v>
      </c>
      <c r="D77" s="43">
        <v>1</v>
      </c>
      <c r="E77" s="187">
        <v>108313</v>
      </c>
      <c r="F77" s="187">
        <v>2.4</v>
      </c>
      <c r="G77" s="187">
        <v>260029.64</v>
      </c>
      <c r="H77" s="187">
        <v>724.79</v>
      </c>
      <c r="I77" s="187">
        <f t="shared" si="4"/>
        <v>1.8846688277559998</v>
      </c>
      <c r="J77" s="187">
        <v>19035.47</v>
      </c>
      <c r="K77" s="187">
        <v>9547.8799999999992</v>
      </c>
      <c r="L77" s="187">
        <f t="shared" si="5"/>
        <v>9547.8799999999992</v>
      </c>
      <c r="M77" s="187">
        <v>32223.19</v>
      </c>
      <c r="N77" s="188"/>
      <c r="O77" s="187"/>
    </row>
    <row r="78" spans="1:15" s="383" customFormat="1" x14ac:dyDescent="0.2">
      <c r="A78" s="379">
        <v>76</v>
      </c>
      <c r="B78" s="380" t="s">
        <v>1294</v>
      </c>
      <c r="C78" s="380" t="s">
        <v>1295</v>
      </c>
      <c r="D78" s="449">
        <v>1</v>
      </c>
      <c r="E78" s="380">
        <v>295121</v>
      </c>
      <c r="F78" s="380">
        <v>2.77</v>
      </c>
      <c r="G78" s="380">
        <v>818424.1</v>
      </c>
      <c r="H78" s="380">
        <v>650.94000000000005</v>
      </c>
      <c r="I78" s="380">
        <f t="shared" si="4"/>
        <v>5.3274498365400005</v>
      </c>
      <c r="J78" s="380">
        <v>78527.87</v>
      </c>
      <c r="K78" s="380">
        <v>40451.230000000003</v>
      </c>
      <c r="L78" s="380">
        <f t="shared" si="5"/>
        <v>40451.230000000003</v>
      </c>
      <c r="M78" s="380">
        <v>740463.41</v>
      </c>
      <c r="N78" s="381" t="s">
        <v>1242</v>
      </c>
      <c r="O78" s="382" t="s">
        <v>1296</v>
      </c>
    </row>
    <row r="79" spans="1:15" x14ac:dyDescent="0.2">
      <c r="A79" s="341">
        <v>77</v>
      </c>
      <c r="B79" s="187" t="s">
        <v>1336</v>
      </c>
      <c r="C79" s="187" t="s">
        <v>1316</v>
      </c>
      <c r="D79" s="43">
        <v>1</v>
      </c>
      <c r="E79" s="187">
        <v>230677</v>
      </c>
      <c r="F79" s="187">
        <v>2.27</v>
      </c>
      <c r="G79" s="187">
        <v>523636.79</v>
      </c>
      <c r="H79" s="187">
        <v>425.33</v>
      </c>
      <c r="I79" s="187">
        <f t="shared" si="4"/>
        <v>2.227184358907</v>
      </c>
      <c r="J79" s="187">
        <v>1827.77</v>
      </c>
      <c r="K79" s="187">
        <v>1361.87</v>
      </c>
      <c r="L79" s="187">
        <f t="shared" si="5"/>
        <v>1361.87</v>
      </c>
      <c r="M79" s="187">
        <v>252562.08</v>
      </c>
      <c r="N79" s="188"/>
      <c r="O79" s="187"/>
    </row>
    <row r="80" spans="1:15" s="383" customFormat="1" x14ac:dyDescent="0.2">
      <c r="A80" s="379">
        <v>78</v>
      </c>
      <c r="B80" s="380" t="s">
        <v>1976</v>
      </c>
      <c r="C80" s="380" t="s">
        <v>1975</v>
      </c>
      <c r="D80" s="449">
        <v>1</v>
      </c>
      <c r="E80" s="380">
        <v>329558</v>
      </c>
      <c r="F80" s="380">
        <v>1.6</v>
      </c>
      <c r="G80" s="380">
        <v>527292.80000000005</v>
      </c>
      <c r="H80" s="380">
        <v>773.82</v>
      </c>
      <c r="I80" s="380">
        <f t="shared" si="4"/>
        <v>4.0802971449600003</v>
      </c>
      <c r="J80" s="380">
        <v>98799.45</v>
      </c>
      <c r="K80" s="380">
        <v>46816.49</v>
      </c>
      <c r="L80" s="380">
        <f t="shared" si="5"/>
        <v>46816.49</v>
      </c>
      <c r="M80" s="380">
        <v>173422.58</v>
      </c>
      <c r="N80" s="381"/>
      <c r="O80" s="380"/>
    </row>
    <row r="81" spans="1:15" x14ac:dyDescent="0.2">
      <c r="A81" s="341">
        <v>79</v>
      </c>
      <c r="B81" s="187" t="s">
        <v>1284</v>
      </c>
      <c r="C81" s="187" t="s">
        <v>390</v>
      </c>
      <c r="D81" s="43">
        <v>1</v>
      </c>
      <c r="E81" s="187">
        <v>390835</v>
      </c>
      <c r="F81" s="187">
        <v>1.9</v>
      </c>
      <c r="G81" s="187">
        <v>742586.5</v>
      </c>
      <c r="H81" s="187">
        <v>877.99</v>
      </c>
      <c r="I81" s="187">
        <f t="shared" si="4"/>
        <v>6.5198352113500002</v>
      </c>
      <c r="J81" s="187">
        <v>89762.91</v>
      </c>
      <c r="K81" s="187">
        <v>50471.45</v>
      </c>
      <c r="L81" s="187">
        <f t="shared" si="5"/>
        <v>50471.45</v>
      </c>
      <c r="M81" s="187">
        <v>365848.45</v>
      </c>
      <c r="N81" s="188"/>
      <c r="O81" s="187"/>
    </row>
    <row r="82" spans="1:15" s="407" customFormat="1" x14ac:dyDescent="0.2">
      <c r="A82" s="402">
        <v>80</v>
      </c>
      <c r="B82" s="403" t="s">
        <v>1324</v>
      </c>
      <c r="C82" s="403" t="s">
        <v>1325</v>
      </c>
      <c r="D82" s="404">
        <v>1</v>
      </c>
      <c r="E82" s="403">
        <v>176610</v>
      </c>
      <c r="F82" s="403">
        <v>2.2400000000000002</v>
      </c>
      <c r="G82" s="403">
        <v>395606.4</v>
      </c>
      <c r="H82" s="403">
        <v>937.8</v>
      </c>
      <c r="I82" s="403">
        <f t="shared" si="4"/>
        <v>3.7099968192000001</v>
      </c>
      <c r="J82" s="403">
        <v>74428.960000000006</v>
      </c>
      <c r="K82" s="403">
        <v>51849.98</v>
      </c>
      <c r="L82" s="403">
        <f t="shared" si="5"/>
        <v>51849.98</v>
      </c>
      <c r="M82" s="403">
        <v>105944.39</v>
      </c>
      <c r="N82" s="405"/>
      <c r="O82" s="403"/>
    </row>
    <row r="83" spans="1:15" x14ac:dyDescent="0.2">
      <c r="A83" s="341">
        <v>81</v>
      </c>
      <c r="B83" s="187" t="s">
        <v>1320</v>
      </c>
      <c r="C83" s="187" t="s">
        <v>1321</v>
      </c>
      <c r="D83" s="43">
        <v>1</v>
      </c>
      <c r="E83" s="187">
        <v>237135</v>
      </c>
      <c r="F83" s="187">
        <v>2</v>
      </c>
      <c r="G83" s="187">
        <v>474270</v>
      </c>
      <c r="H83" s="187">
        <v>790.35</v>
      </c>
      <c r="I83" s="187">
        <f t="shared" si="4"/>
        <v>3.748392945</v>
      </c>
      <c r="J83" s="187">
        <v>25604.21</v>
      </c>
      <c r="K83" s="187">
        <v>11903.7</v>
      </c>
      <c r="L83" s="187">
        <f t="shared" si="5"/>
        <v>11903.7</v>
      </c>
      <c r="M83" s="187">
        <v>353141.92</v>
      </c>
      <c r="N83" s="188" t="s">
        <v>1314</v>
      </c>
      <c r="O83" s="191" t="s">
        <v>1322</v>
      </c>
    </row>
    <row r="84" spans="1:15" x14ac:dyDescent="0.2">
      <c r="A84" s="341">
        <v>82</v>
      </c>
      <c r="B84" s="187" t="s">
        <v>1317</v>
      </c>
      <c r="C84" s="187" t="s">
        <v>413</v>
      </c>
      <c r="D84" s="43">
        <v>1</v>
      </c>
      <c r="E84" s="187">
        <v>86062</v>
      </c>
      <c r="F84" s="187">
        <v>2.2000000000000002</v>
      </c>
      <c r="G84" s="187">
        <v>189336.4</v>
      </c>
      <c r="H84" s="187">
        <v>2072.73</v>
      </c>
      <c r="I84" s="187">
        <f t="shared" si="4"/>
        <v>3.9244323637199998</v>
      </c>
      <c r="J84" s="187">
        <v>34561.93</v>
      </c>
      <c r="K84" s="187">
        <v>26697.72</v>
      </c>
      <c r="L84" s="187">
        <f t="shared" si="5"/>
        <v>26697.72</v>
      </c>
      <c r="M84" s="187">
        <v>25678.61</v>
      </c>
      <c r="N84" s="188"/>
      <c r="O84" s="187"/>
    </row>
    <row r="85" spans="1:15" x14ac:dyDescent="0.2">
      <c r="A85" s="341">
        <v>83</v>
      </c>
      <c r="B85" s="187" t="s">
        <v>1359</v>
      </c>
      <c r="C85" s="187" t="s">
        <v>413</v>
      </c>
      <c r="D85" s="43">
        <v>1</v>
      </c>
      <c r="E85" s="187">
        <v>17619</v>
      </c>
      <c r="F85" s="187">
        <v>2</v>
      </c>
      <c r="G85" s="187">
        <v>35238</v>
      </c>
      <c r="H85" s="187">
        <v>2280</v>
      </c>
      <c r="I85" s="187">
        <f t="shared" si="4"/>
        <v>0.80342639999999999</v>
      </c>
      <c r="J85" s="187">
        <v>0</v>
      </c>
      <c r="K85" s="187">
        <v>0</v>
      </c>
      <c r="L85" s="187">
        <f t="shared" si="5"/>
        <v>0</v>
      </c>
      <c r="M85" s="187">
        <v>35238</v>
      </c>
      <c r="N85" s="188"/>
      <c r="O85" s="187"/>
    </row>
    <row r="86" spans="1:15" x14ac:dyDescent="0.2">
      <c r="A86" s="341">
        <v>84</v>
      </c>
      <c r="B86" s="187" t="s">
        <v>1346</v>
      </c>
      <c r="C86" s="187" t="s">
        <v>413</v>
      </c>
      <c r="D86" s="43">
        <v>1</v>
      </c>
      <c r="E86" s="187">
        <v>37756</v>
      </c>
      <c r="F86" s="187">
        <v>2</v>
      </c>
      <c r="G86" s="187">
        <v>75512</v>
      </c>
      <c r="H86" s="187">
        <v>2280</v>
      </c>
      <c r="I86" s="187">
        <f t="shared" si="4"/>
        <v>1.7216735999999999</v>
      </c>
      <c r="J86" s="187">
        <v>0</v>
      </c>
      <c r="K86" s="187">
        <v>0</v>
      </c>
      <c r="L86" s="187">
        <f t="shared" si="5"/>
        <v>0</v>
      </c>
      <c r="M86" s="187">
        <v>75512</v>
      </c>
      <c r="N86" s="188"/>
      <c r="O86" s="187"/>
    </row>
    <row r="87" spans="1:15" x14ac:dyDescent="0.2">
      <c r="A87" s="341">
        <v>85</v>
      </c>
      <c r="B87" s="187" t="s">
        <v>1356</v>
      </c>
      <c r="C87" s="187" t="s">
        <v>1353</v>
      </c>
      <c r="D87" s="43">
        <v>1</v>
      </c>
      <c r="E87" s="187">
        <v>117504</v>
      </c>
      <c r="F87" s="187">
        <v>2.2000000000000002</v>
      </c>
      <c r="G87" s="187">
        <v>258508.79999999999</v>
      </c>
      <c r="H87" s="187">
        <v>354.73</v>
      </c>
      <c r="I87" s="187">
        <f t="shared" si="4"/>
        <v>0.91700826623999998</v>
      </c>
      <c r="J87" s="187">
        <v>2012.35</v>
      </c>
      <c r="K87" s="187">
        <v>635.69000000000005</v>
      </c>
      <c r="L87" s="187">
        <f t="shared" si="5"/>
        <v>635.69000000000005</v>
      </c>
      <c r="M87" s="187">
        <v>233170.33</v>
      </c>
      <c r="N87" s="188"/>
      <c r="O87" s="187"/>
    </row>
    <row r="88" spans="1:15" x14ac:dyDescent="0.2">
      <c r="A88" s="341">
        <v>86</v>
      </c>
      <c r="B88" s="187" t="s">
        <v>1352</v>
      </c>
      <c r="C88" s="187" t="s">
        <v>1353</v>
      </c>
      <c r="D88" s="43">
        <v>1</v>
      </c>
      <c r="E88" s="187">
        <v>61511</v>
      </c>
      <c r="F88" s="187">
        <v>2.2999999999999998</v>
      </c>
      <c r="G88" s="187">
        <v>141475.29999999999</v>
      </c>
      <c r="H88" s="187">
        <v>692.7</v>
      </c>
      <c r="I88" s="187">
        <f t="shared" si="4"/>
        <v>0.9799994031</v>
      </c>
      <c r="J88" s="187">
        <v>40874.68</v>
      </c>
      <c r="K88" s="187">
        <v>15464.79</v>
      </c>
      <c r="L88" s="187">
        <f t="shared" si="5"/>
        <v>15464.79</v>
      </c>
      <c r="M88" s="187">
        <v>10594.82</v>
      </c>
      <c r="N88" s="188" t="s">
        <v>1354</v>
      </c>
      <c r="O88" s="191" t="s">
        <v>1355</v>
      </c>
    </row>
    <row r="89" spans="1:15" x14ac:dyDescent="0.2">
      <c r="A89" s="341">
        <v>87</v>
      </c>
      <c r="B89" s="187" t="s">
        <v>1360</v>
      </c>
      <c r="C89" s="187" t="s">
        <v>1361</v>
      </c>
      <c r="D89" s="43">
        <v>1</v>
      </c>
      <c r="E89" s="187">
        <v>46977</v>
      </c>
      <c r="F89" s="187">
        <v>1.8</v>
      </c>
      <c r="G89" s="187">
        <v>84558.6</v>
      </c>
      <c r="H89" s="187">
        <v>918.89</v>
      </c>
      <c r="I89" s="187">
        <f t="shared" si="4"/>
        <v>0.77700051954000016</v>
      </c>
      <c r="J89" s="187">
        <v>51836.89</v>
      </c>
      <c r="K89" s="187">
        <v>27436.11</v>
      </c>
      <c r="L89" s="187">
        <f t="shared" si="5"/>
        <v>27436.11</v>
      </c>
      <c r="M89" s="187">
        <v>23312.73</v>
      </c>
      <c r="N89" s="188"/>
      <c r="O89" s="187"/>
    </row>
  </sheetData>
  <autoFilter ref="A1:O89" xr:uid="{94F3B9AA-49DA-46A8-BB9E-05D42BB4B9C0}">
    <sortState xmlns:xlrd2="http://schemas.microsoft.com/office/spreadsheetml/2017/richdata2" ref="A2:O89">
      <sortCondition ref="A1:A89"/>
    </sortState>
  </autoFilter>
  <phoneticPr fontId="5" type="noConversion"/>
  <hyperlinks>
    <hyperlink ref="O29" r:id="rId1" xr:uid="{5275DE3C-2A12-4BDF-BB9C-8C3B9E5B4FE8}"/>
    <hyperlink ref="O42" r:id="rId2" xr:uid="{407C2008-D7B7-410D-9441-C21A1005E9AD}"/>
    <hyperlink ref="O38" r:id="rId3" xr:uid="{7FB7A111-B8BE-4D9E-82F0-AEF81C6840F2}"/>
    <hyperlink ref="O36" r:id="rId4" xr:uid="{6EBFF047-97A3-4EDE-804D-3A690EC82D46}"/>
    <hyperlink ref="O40" r:id="rId5" xr:uid="{6B26F538-2AED-4B42-B985-C0B1CAAE7BAB}"/>
    <hyperlink ref="O41" r:id="rId6" xr:uid="{229ED211-27A6-473D-8264-E49C304A1409}"/>
    <hyperlink ref="O43" r:id="rId7" xr:uid="{8F646651-07DA-4B18-A3C1-6FC4DD883B42}"/>
    <hyperlink ref="O33" r:id="rId8" xr:uid="{95B8A491-52BA-4949-B687-8FC6DF3FF3F3}"/>
    <hyperlink ref="O9" r:id="rId9" xr:uid="{2BBF16E1-ED91-48F8-B847-1567A133BC6A}"/>
    <hyperlink ref="O78" r:id="rId10" xr:uid="{F629A563-DE9B-42EC-8E8F-EFDEF468411B}"/>
    <hyperlink ref="O51" r:id="rId11" xr:uid="{21CA195D-511A-4FA8-88B6-988FA272BCF7}"/>
    <hyperlink ref="O83" r:id="rId12" xr:uid="{D3C4E931-0106-4645-8FEF-39E178D72978}"/>
    <hyperlink ref="O50" r:id="rId13" xr:uid="{A256BE25-74DF-4DA3-84DB-E5A82F1E3C3C}"/>
    <hyperlink ref="O46" r:id="rId14" xr:uid="{917D9490-E32A-4FD7-A2D8-085F6586BE82}"/>
    <hyperlink ref="O88" r:id="rId15" xr:uid="{A59FAC5A-17A8-48F9-8E7C-1218ECC3BA03}"/>
    <hyperlink ref="O32" r:id="rId16" xr:uid="{94DCC5A0-9EF0-4321-9815-305B2AB41D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F83C-D986-4592-A28D-696D285AE57E}">
  <dimension ref="A1:P103"/>
  <sheetViews>
    <sheetView workbookViewId="0">
      <pane ySplit="1" topLeftCell="A79" activePane="bottomLeft" state="frozen"/>
      <selection pane="bottomLeft" activeCell="C74" sqref="C74"/>
    </sheetView>
  </sheetViews>
  <sheetFormatPr defaultRowHeight="14.25" x14ac:dyDescent="0.2"/>
  <cols>
    <col min="1" max="1" width="12.375" customWidth="1"/>
    <col min="2" max="2" width="54.875" style="54" customWidth="1"/>
    <col min="3" max="3" width="40" style="54" customWidth="1"/>
    <col min="4" max="4" width="9.5" style="56" customWidth="1"/>
    <col min="5" max="5" width="10.875" style="81" customWidth="1"/>
    <col min="6" max="6" width="6.625" customWidth="1"/>
    <col min="7" max="7" width="9" style="55" customWidth="1"/>
    <col min="8" max="8" width="10" style="56" customWidth="1"/>
    <col min="9" max="9" width="10.25" style="56" customWidth="1"/>
    <col min="10" max="10" width="11.25" style="57" customWidth="1"/>
    <col min="11" max="12" width="10.125" style="57" hidden="1" customWidth="1"/>
    <col min="13" max="13" width="10.75" style="57" hidden="1" customWidth="1"/>
    <col min="14" max="14" width="8.25" style="57" hidden="1" customWidth="1"/>
    <col min="15" max="15" width="48.75" style="54" customWidth="1"/>
    <col min="16" max="16" width="26.875" customWidth="1"/>
  </cols>
  <sheetData>
    <row r="1" spans="1:16" s="54" customFormat="1" ht="28.5" x14ac:dyDescent="0.2">
      <c r="A1" s="54" t="s">
        <v>349</v>
      </c>
      <c r="B1" s="54" t="s">
        <v>454</v>
      </c>
      <c r="C1" s="54" t="s">
        <v>455</v>
      </c>
      <c r="D1" s="58" t="s">
        <v>1087</v>
      </c>
      <c r="E1" s="80" t="s">
        <v>529</v>
      </c>
      <c r="F1" s="54" t="s">
        <v>344</v>
      </c>
      <c r="G1" s="60" t="s">
        <v>345</v>
      </c>
      <c r="H1" s="58" t="s">
        <v>528</v>
      </c>
      <c r="I1" s="58" t="s">
        <v>563</v>
      </c>
      <c r="J1" s="59" t="s">
        <v>564</v>
      </c>
      <c r="K1" s="59" t="s">
        <v>565</v>
      </c>
      <c r="L1" s="46" t="s">
        <v>1085</v>
      </c>
      <c r="M1" s="46" t="s">
        <v>1086</v>
      </c>
      <c r="N1" s="105" t="s">
        <v>840</v>
      </c>
      <c r="O1" s="54" t="s">
        <v>559</v>
      </c>
      <c r="P1" s="54" t="s">
        <v>1077</v>
      </c>
    </row>
    <row r="2" spans="1:16" x14ac:dyDescent="0.2">
      <c r="A2" t="s">
        <v>359</v>
      </c>
      <c r="B2" s="54" t="s">
        <v>360</v>
      </c>
      <c r="C2" s="54" t="s">
        <v>499</v>
      </c>
      <c r="D2" s="56">
        <v>11080</v>
      </c>
      <c r="E2" s="81">
        <v>42831</v>
      </c>
      <c r="F2">
        <v>1</v>
      </c>
      <c r="G2" s="55">
        <v>1</v>
      </c>
      <c r="H2" s="56">
        <v>127826.38</v>
      </c>
      <c r="I2" s="56">
        <v>255652.76</v>
      </c>
      <c r="J2" s="57">
        <v>283263</v>
      </c>
      <c r="K2" s="57">
        <f>J2*G2</f>
        <v>283263</v>
      </c>
      <c r="O2" s="90" t="s">
        <v>1755</v>
      </c>
      <c r="P2" s="67" t="s">
        <v>1127</v>
      </c>
    </row>
    <row r="3" spans="1:16" x14ac:dyDescent="0.2">
      <c r="A3" s="69" t="s">
        <v>378</v>
      </c>
      <c r="B3" s="384" t="s">
        <v>1159</v>
      </c>
      <c r="C3" s="384" t="s">
        <v>546</v>
      </c>
      <c r="D3" s="385">
        <v>4900</v>
      </c>
      <c r="E3" s="386">
        <v>42920</v>
      </c>
      <c r="F3" s="69">
        <v>1</v>
      </c>
      <c r="G3" s="387">
        <v>1</v>
      </c>
      <c r="H3" s="385">
        <v>74771</v>
      </c>
      <c r="I3" s="385">
        <v>209358.8</v>
      </c>
      <c r="J3" s="388">
        <v>102586</v>
      </c>
      <c r="K3" s="388">
        <f>J3*G3</f>
        <v>102586</v>
      </c>
      <c r="L3" s="388"/>
      <c r="M3" s="388"/>
      <c r="N3" s="388"/>
      <c r="O3" s="389" t="s">
        <v>1160</v>
      </c>
      <c r="P3" s="69"/>
    </row>
    <row r="4" spans="1:16" s="154" customFormat="1" x14ac:dyDescent="0.2">
      <c r="A4" s="180" t="s">
        <v>383</v>
      </c>
      <c r="B4" s="181" t="s">
        <v>1171</v>
      </c>
      <c r="C4" s="181" t="s">
        <v>462</v>
      </c>
      <c r="D4" s="182">
        <v>3039</v>
      </c>
      <c r="E4" s="83">
        <v>43012</v>
      </c>
      <c r="F4" s="180">
        <v>1</v>
      </c>
      <c r="G4" s="183">
        <v>0.55000000000000004</v>
      </c>
      <c r="H4" s="182">
        <v>127525</v>
      </c>
      <c r="I4" s="182">
        <v>318812.5</v>
      </c>
      <c r="J4" s="184">
        <v>96888</v>
      </c>
      <c r="K4" s="184">
        <f>J4*G4</f>
        <v>53288.4</v>
      </c>
      <c r="L4" s="184"/>
      <c r="M4" s="184"/>
      <c r="N4" s="184"/>
      <c r="O4" s="185" t="s">
        <v>1172</v>
      </c>
      <c r="P4" s="180"/>
    </row>
    <row r="5" spans="1:16" s="199" customFormat="1" x14ac:dyDescent="0.2">
      <c r="A5" s="199" t="s">
        <v>381</v>
      </c>
      <c r="B5" s="200" t="s">
        <v>1184</v>
      </c>
      <c r="C5" s="200" t="s">
        <v>548</v>
      </c>
      <c r="D5" s="201">
        <v>3299.32</v>
      </c>
      <c r="E5" s="202">
        <v>42969</v>
      </c>
      <c r="F5" s="199">
        <v>1</v>
      </c>
      <c r="G5" s="203">
        <v>1</v>
      </c>
      <c r="H5" s="201">
        <v>87290.67</v>
      </c>
      <c r="I5" s="201">
        <v>218226.67</v>
      </c>
      <c r="J5" s="204">
        <v>72000</v>
      </c>
      <c r="K5" s="204">
        <f>J5*G5</f>
        <v>72000</v>
      </c>
      <c r="L5" s="204"/>
      <c r="M5" s="204"/>
      <c r="N5" s="204"/>
      <c r="O5" s="205" t="s">
        <v>1189</v>
      </c>
      <c r="P5" s="206" t="s">
        <v>1185</v>
      </c>
    </row>
    <row r="6" spans="1:16" x14ac:dyDescent="0.2">
      <c r="A6" t="s">
        <v>381</v>
      </c>
      <c r="B6" s="54" t="s">
        <v>1186</v>
      </c>
      <c r="C6" s="54" t="s">
        <v>463</v>
      </c>
      <c r="D6" s="56">
        <v>3520</v>
      </c>
      <c r="E6" s="81">
        <v>43040</v>
      </c>
      <c r="F6">
        <v>1</v>
      </c>
      <c r="G6" s="55">
        <v>1</v>
      </c>
      <c r="H6" s="56">
        <v>66470</v>
      </c>
      <c r="I6" s="56">
        <v>199412</v>
      </c>
      <c r="J6" s="57">
        <v>70193</v>
      </c>
      <c r="K6" s="57">
        <f>J6*G6</f>
        <v>70193</v>
      </c>
      <c r="O6" s="90" t="s">
        <v>1188</v>
      </c>
      <c r="P6" s="67" t="s">
        <v>1187</v>
      </c>
    </row>
    <row r="7" spans="1:16" x14ac:dyDescent="0.2">
      <c r="A7" t="s">
        <v>1397</v>
      </c>
      <c r="B7" s="54" t="s">
        <v>493</v>
      </c>
      <c r="C7" s="54" t="s">
        <v>534</v>
      </c>
      <c r="D7" s="56">
        <v>4667</v>
      </c>
      <c r="E7" s="81">
        <v>42801</v>
      </c>
      <c r="F7">
        <v>1</v>
      </c>
      <c r="G7" s="55">
        <v>1</v>
      </c>
      <c r="H7" s="56">
        <v>58194</v>
      </c>
      <c r="I7" s="56">
        <v>87291</v>
      </c>
      <c r="J7" s="57">
        <v>40739</v>
      </c>
      <c r="K7" s="57">
        <f>J7*G7</f>
        <v>40739</v>
      </c>
      <c r="O7" s="90" t="s">
        <v>1398</v>
      </c>
    </row>
    <row r="8" spans="1:16" x14ac:dyDescent="0.2">
      <c r="A8" t="s">
        <v>1402</v>
      </c>
      <c r="B8" s="54" t="s">
        <v>451</v>
      </c>
      <c r="C8" s="54" t="s">
        <v>541</v>
      </c>
      <c r="D8" s="56">
        <v>6010</v>
      </c>
      <c r="E8" s="81">
        <v>42887</v>
      </c>
      <c r="F8">
        <v>1</v>
      </c>
      <c r="G8" s="55">
        <v>1</v>
      </c>
      <c r="H8" s="56">
        <v>45737</v>
      </c>
      <c r="I8" s="56">
        <v>63980</v>
      </c>
      <c r="J8" s="57">
        <v>38452</v>
      </c>
      <c r="K8" s="57">
        <f>J8*G8</f>
        <v>38452</v>
      </c>
      <c r="O8" s="90" t="s">
        <v>1404</v>
      </c>
      <c r="P8" s="67" t="s">
        <v>1403</v>
      </c>
    </row>
    <row r="9" spans="1:16" x14ac:dyDescent="0.2">
      <c r="A9" t="s">
        <v>350</v>
      </c>
      <c r="B9" s="54" t="s">
        <v>1104</v>
      </c>
      <c r="C9" s="54" t="s">
        <v>530</v>
      </c>
      <c r="D9" s="56">
        <v>3015</v>
      </c>
      <c r="E9" s="81">
        <v>42767</v>
      </c>
      <c r="F9">
        <v>1</v>
      </c>
      <c r="G9" s="55">
        <v>1</v>
      </c>
      <c r="H9" s="56">
        <v>54549</v>
      </c>
      <c r="I9" s="56">
        <v>109098</v>
      </c>
      <c r="J9" s="57">
        <v>32893</v>
      </c>
      <c r="K9" s="57">
        <f>J9*G9</f>
        <v>32893</v>
      </c>
      <c r="O9" s="90" t="s">
        <v>1126</v>
      </c>
    </row>
    <row r="10" spans="1:16" x14ac:dyDescent="0.2">
      <c r="A10" t="s">
        <v>1423</v>
      </c>
      <c r="B10" s="54" t="s">
        <v>364</v>
      </c>
      <c r="C10" s="62">
        <v>20170601</v>
      </c>
      <c r="D10" s="56">
        <v>4952</v>
      </c>
      <c r="E10" s="81">
        <v>42856</v>
      </c>
      <c r="F10">
        <v>1</v>
      </c>
      <c r="G10" s="55">
        <v>0.33329999999999999</v>
      </c>
      <c r="H10" s="56">
        <v>29429</v>
      </c>
      <c r="I10" s="56">
        <v>64743.8</v>
      </c>
      <c r="J10" s="57">
        <v>32104</v>
      </c>
      <c r="K10" s="57">
        <f>J10*G10</f>
        <v>10700.263199999999</v>
      </c>
      <c r="O10" s="90" t="s">
        <v>1425</v>
      </c>
      <c r="P10" s="67" t="s">
        <v>1424</v>
      </c>
    </row>
    <row r="11" spans="1:16" ht="28.5" x14ac:dyDescent="0.2">
      <c r="A11" t="s">
        <v>1447</v>
      </c>
      <c r="B11" s="54" t="s">
        <v>427</v>
      </c>
      <c r="C11" s="54" t="s">
        <v>510</v>
      </c>
      <c r="D11" s="56">
        <v>1365.05</v>
      </c>
      <c r="E11" s="81">
        <v>42986</v>
      </c>
      <c r="F11">
        <v>1</v>
      </c>
      <c r="G11" s="55">
        <v>0.5</v>
      </c>
      <c r="H11" s="56">
        <v>29959</v>
      </c>
      <c r="I11" s="56">
        <v>65909.8</v>
      </c>
      <c r="J11" s="57">
        <v>8997</v>
      </c>
      <c r="K11" s="57">
        <f>J11*G11</f>
        <v>4498.5</v>
      </c>
      <c r="O11" s="90" t="s">
        <v>1448</v>
      </c>
    </row>
    <row r="12" spans="1:16" s="415" customFormat="1" ht="28.5" x14ac:dyDescent="0.2">
      <c r="A12" s="415" t="s">
        <v>1759</v>
      </c>
      <c r="B12" s="416" t="s">
        <v>445</v>
      </c>
      <c r="C12" s="416" t="s">
        <v>540</v>
      </c>
      <c r="D12" s="417">
        <v>15997.32</v>
      </c>
      <c r="E12" s="418">
        <v>42860</v>
      </c>
      <c r="F12" s="415">
        <v>2</v>
      </c>
      <c r="G12" s="419">
        <v>1</v>
      </c>
      <c r="H12" s="417">
        <v>51156</v>
      </c>
      <c r="I12" s="417">
        <v>112543.2</v>
      </c>
      <c r="J12" s="420">
        <v>180039</v>
      </c>
      <c r="K12" s="420">
        <f>J12*G12</f>
        <v>180039</v>
      </c>
      <c r="L12" s="420"/>
      <c r="M12" s="420"/>
      <c r="N12" s="420"/>
      <c r="O12" s="421" t="s">
        <v>1758</v>
      </c>
      <c r="P12" s="422" t="s">
        <v>1130</v>
      </c>
    </row>
    <row r="13" spans="1:16" s="69" customFormat="1" x14ac:dyDescent="0.2">
      <c r="A13" t="s">
        <v>362</v>
      </c>
      <c r="B13" s="54" t="s">
        <v>444</v>
      </c>
      <c r="C13" s="54" t="s">
        <v>365</v>
      </c>
      <c r="D13" s="56">
        <v>15208.92</v>
      </c>
      <c r="E13" s="81">
        <v>42860</v>
      </c>
      <c r="F13">
        <v>3</v>
      </c>
      <c r="G13" s="55"/>
      <c r="H13" s="56">
        <v>47719</v>
      </c>
      <c r="I13" s="56">
        <v>104981.8</v>
      </c>
      <c r="J13" s="57">
        <v>159666</v>
      </c>
      <c r="K13" s="57">
        <f>J13*G13</f>
        <v>0</v>
      </c>
      <c r="L13" s="57"/>
      <c r="M13" s="57"/>
      <c r="N13" s="57"/>
      <c r="O13" s="90" t="s">
        <v>1760</v>
      </c>
      <c r="P13"/>
    </row>
    <row r="14" spans="1:16" s="69" customFormat="1" x14ac:dyDescent="0.2">
      <c r="A14"/>
      <c r="B14" s="54"/>
      <c r="C14" s="54"/>
      <c r="D14" s="56">
        <f>J14/I14*10000</f>
        <v>15616.825652223883</v>
      </c>
      <c r="E14" s="81"/>
      <c r="F14"/>
      <c r="G14" s="55"/>
      <c r="H14" s="56">
        <f>H12+H13</f>
        <v>98875</v>
      </c>
      <c r="I14" s="56">
        <f t="shared" ref="I14:J14" si="0">I12+I13</f>
        <v>217525</v>
      </c>
      <c r="J14" s="56">
        <f t="shared" si="0"/>
        <v>339705</v>
      </c>
      <c r="K14" s="57"/>
      <c r="L14" s="57"/>
      <c r="M14" s="57"/>
      <c r="N14" s="57"/>
      <c r="O14" s="90"/>
      <c r="P14"/>
    </row>
    <row r="15" spans="1:16" ht="28.5" x14ac:dyDescent="0.2">
      <c r="A15" t="s">
        <v>354</v>
      </c>
      <c r="B15" s="54" t="s">
        <v>494</v>
      </c>
      <c r="C15" s="54" t="s">
        <v>533</v>
      </c>
      <c r="D15" s="56">
        <v>3830</v>
      </c>
      <c r="E15" s="81">
        <v>42809</v>
      </c>
      <c r="F15">
        <v>2</v>
      </c>
      <c r="G15" s="55">
        <v>1</v>
      </c>
      <c r="H15" s="56">
        <v>153942</v>
      </c>
      <c r="I15" s="56">
        <v>384855</v>
      </c>
      <c r="J15" s="57">
        <v>147410</v>
      </c>
      <c r="K15" s="57">
        <f>J15*G15</f>
        <v>147410</v>
      </c>
      <c r="O15" s="90" t="s">
        <v>1761</v>
      </c>
      <c r="P15" s="67" t="s">
        <v>1133</v>
      </c>
    </row>
    <row r="16" spans="1:16" s="199" customFormat="1" x14ac:dyDescent="0.2">
      <c r="A16" s="199" t="s">
        <v>359</v>
      </c>
      <c r="B16" s="200" t="s">
        <v>1149</v>
      </c>
      <c r="C16" s="200" t="s">
        <v>500</v>
      </c>
      <c r="D16" s="201">
        <v>9400</v>
      </c>
      <c r="E16" s="202">
        <v>42831</v>
      </c>
      <c r="F16" s="199">
        <v>2</v>
      </c>
      <c r="G16" s="203">
        <v>1</v>
      </c>
      <c r="H16" s="201">
        <v>42273.27</v>
      </c>
      <c r="I16" s="201">
        <v>123015.22</v>
      </c>
      <c r="J16" s="204">
        <v>115825</v>
      </c>
      <c r="K16" s="204">
        <f>J16*G16</f>
        <v>115825</v>
      </c>
      <c r="L16" s="204"/>
      <c r="M16" s="204"/>
      <c r="N16" s="204"/>
      <c r="O16" s="205" t="s">
        <v>1151</v>
      </c>
      <c r="P16" s="206" t="s">
        <v>1150</v>
      </c>
    </row>
    <row r="17" spans="1:16" s="199" customFormat="1" x14ac:dyDescent="0.2">
      <c r="A17" s="199" t="s">
        <v>351</v>
      </c>
      <c r="B17" s="200" t="s">
        <v>526</v>
      </c>
      <c r="C17" s="200" t="s">
        <v>535</v>
      </c>
      <c r="D17" s="201">
        <v>4754.41</v>
      </c>
      <c r="E17" s="202">
        <v>42790</v>
      </c>
      <c r="F17" s="199">
        <v>2</v>
      </c>
      <c r="G17" s="203">
        <v>1</v>
      </c>
      <c r="H17" s="201">
        <v>127644.61</v>
      </c>
      <c r="I17" s="201">
        <v>204231.38</v>
      </c>
      <c r="J17" s="204">
        <v>97100</v>
      </c>
      <c r="K17" s="204">
        <f>J17*G17</f>
        <v>97100</v>
      </c>
      <c r="L17" s="204"/>
      <c r="M17" s="204"/>
      <c r="N17" s="204"/>
      <c r="O17" s="205" t="s">
        <v>1170</v>
      </c>
    </row>
    <row r="18" spans="1:16" ht="28.5" x14ac:dyDescent="0.2">
      <c r="A18" s="180" t="s">
        <v>383</v>
      </c>
      <c r="B18" s="181" t="s">
        <v>1177</v>
      </c>
      <c r="C18" s="181" t="s">
        <v>511</v>
      </c>
      <c r="D18" s="182">
        <v>2985.69</v>
      </c>
      <c r="E18" s="83">
        <v>42994</v>
      </c>
      <c r="F18" s="180">
        <v>2</v>
      </c>
      <c r="G18" s="183">
        <v>0.8</v>
      </c>
      <c r="H18" s="182">
        <v>120905</v>
      </c>
      <c r="I18" s="182">
        <v>316771.09999999998</v>
      </c>
      <c r="J18" s="184">
        <v>94578</v>
      </c>
      <c r="K18" s="184">
        <f>J18*G18</f>
        <v>75662.400000000009</v>
      </c>
      <c r="L18" s="184"/>
      <c r="M18" s="184"/>
      <c r="N18" s="184"/>
      <c r="O18" s="185" t="s">
        <v>1179</v>
      </c>
      <c r="P18" s="67" t="s">
        <v>1178</v>
      </c>
    </row>
    <row r="19" spans="1:16" x14ac:dyDescent="0.2">
      <c r="A19" t="s">
        <v>362</v>
      </c>
      <c r="B19" s="54" t="s">
        <v>425</v>
      </c>
      <c r="C19" s="54" t="s">
        <v>549</v>
      </c>
      <c r="D19" s="56">
        <v>14246</v>
      </c>
      <c r="E19" s="81">
        <v>42969</v>
      </c>
      <c r="F19">
        <v>2</v>
      </c>
      <c r="G19" s="55">
        <v>0.25</v>
      </c>
      <c r="H19" s="56">
        <v>28054</v>
      </c>
      <c r="I19" s="56">
        <v>33664.800000000003</v>
      </c>
      <c r="J19" s="57">
        <v>47960</v>
      </c>
      <c r="K19" s="57">
        <f>J19*G19</f>
        <v>11990</v>
      </c>
      <c r="O19" s="90" t="s">
        <v>1376</v>
      </c>
    </row>
    <row r="20" spans="1:16" x14ac:dyDescent="0.2">
      <c r="A20" t="s">
        <v>389</v>
      </c>
      <c r="B20" s="54" t="s">
        <v>401</v>
      </c>
      <c r="C20" s="54" t="s">
        <v>475</v>
      </c>
      <c r="D20" s="56">
        <v>2836.72</v>
      </c>
      <c r="E20" s="81">
        <v>43019</v>
      </c>
      <c r="F20">
        <v>2</v>
      </c>
      <c r="G20" s="55">
        <v>0.34</v>
      </c>
      <c r="H20" s="56">
        <v>62946</v>
      </c>
      <c r="I20" s="56">
        <v>157365</v>
      </c>
      <c r="J20" s="57">
        <v>44640</v>
      </c>
      <c r="K20" s="57">
        <f>J20*G20</f>
        <v>15177.6</v>
      </c>
      <c r="O20" s="90" t="s">
        <v>1380</v>
      </c>
    </row>
    <row r="21" spans="1:16" x14ac:dyDescent="0.2">
      <c r="A21" t="s">
        <v>1153</v>
      </c>
      <c r="B21" s="54" t="s">
        <v>430</v>
      </c>
      <c r="C21" s="54" t="s">
        <v>1392</v>
      </c>
      <c r="D21" s="56">
        <v>1205</v>
      </c>
      <c r="E21" s="81">
        <v>43040</v>
      </c>
      <c r="F21">
        <v>2</v>
      </c>
      <c r="G21" s="55">
        <v>1</v>
      </c>
      <c r="H21" s="56">
        <v>117203</v>
      </c>
      <c r="I21" s="56">
        <v>351610</v>
      </c>
      <c r="J21" s="57">
        <v>42369</v>
      </c>
      <c r="K21" s="57">
        <f>J21*G21</f>
        <v>42369</v>
      </c>
      <c r="O21" s="90" t="s">
        <v>1393</v>
      </c>
    </row>
    <row r="22" spans="1:16" x14ac:dyDescent="0.2">
      <c r="A22" t="s">
        <v>1454</v>
      </c>
      <c r="B22" s="54" t="s">
        <v>379</v>
      </c>
      <c r="C22" s="54" t="s">
        <v>547</v>
      </c>
      <c r="D22" s="56">
        <v>3136</v>
      </c>
      <c r="E22" s="81">
        <v>42933</v>
      </c>
      <c r="F22">
        <v>2</v>
      </c>
      <c r="G22" s="55">
        <v>0.55000000000000004</v>
      </c>
      <c r="H22" s="56">
        <v>42431</v>
      </c>
      <c r="I22" s="56">
        <v>75951</v>
      </c>
      <c r="J22" s="57">
        <v>23817</v>
      </c>
      <c r="K22" s="57">
        <f>J22*G22</f>
        <v>13099.35</v>
      </c>
      <c r="O22" s="90" t="s">
        <v>1455</v>
      </c>
    </row>
    <row r="23" spans="1:16" x14ac:dyDescent="0.2">
      <c r="A23" s="199" t="s">
        <v>1452</v>
      </c>
      <c r="B23" s="200" t="s">
        <v>452</v>
      </c>
      <c r="C23" s="200" t="s">
        <v>467</v>
      </c>
      <c r="D23" s="201">
        <v>2505</v>
      </c>
      <c r="E23" s="202">
        <v>42891</v>
      </c>
      <c r="F23" s="199">
        <v>2</v>
      </c>
      <c r="G23" s="203">
        <v>1</v>
      </c>
      <c r="H23" s="201">
        <v>19125.2</v>
      </c>
      <c r="I23" s="201">
        <v>47813</v>
      </c>
      <c r="J23" s="204">
        <v>12000</v>
      </c>
      <c r="K23" s="204">
        <f>J23*G23</f>
        <v>12000</v>
      </c>
      <c r="L23" s="204"/>
      <c r="M23" s="204"/>
      <c r="N23" s="204"/>
      <c r="O23" s="205" t="s">
        <v>1453</v>
      </c>
      <c r="P23" s="199"/>
    </row>
    <row r="24" spans="1:16" ht="28.5" x14ac:dyDescent="0.2">
      <c r="A24" t="s">
        <v>359</v>
      </c>
      <c r="B24" s="54" t="s">
        <v>361</v>
      </c>
      <c r="C24" s="54" t="s">
        <v>537</v>
      </c>
      <c r="D24" s="56">
        <v>12900</v>
      </c>
      <c r="E24" s="81">
        <v>42831</v>
      </c>
      <c r="F24">
        <v>3</v>
      </c>
      <c r="G24" s="55">
        <v>0.5</v>
      </c>
      <c r="H24" s="56">
        <v>29687.55</v>
      </c>
      <c r="I24" s="56">
        <v>148437</v>
      </c>
      <c r="J24" s="57">
        <v>191484</v>
      </c>
      <c r="K24" s="57">
        <f>J24*G24</f>
        <v>95742</v>
      </c>
      <c r="O24" s="90" t="s">
        <v>1756</v>
      </c>
      <c r="P24" s="67" t="s">
        <v>1128</v>
      </c>
    </row>
    <row r="25" spans="1:16" x14ac:dyDescent="0.2">
      <c r="A25" t="s">
        <v>350</v>
      </c>
      <c r="B25" s="54" t="s">
        <v>426</v>
      </c>
      <c r="C25" s="54" t="s">
        <v>509</v>
      </c>
      <c r="D25" s="56">
        <v>3264</v>
      </c>
      <c r="E25" s="81">
        <v>42969</v>
      </c>
      <c r="F25">
        <v>3</v>
      </c>
      <c r="G25" s="55">
        <v>0.2</v>
      </c>
      <c r="H25" s="56">
        <v>180729.60000000001</v>
      </c>
      <c r="I25" s="56">
        <v>321699</v>
      </c>
      <c r="J25" s="57">
        <v>105004</v>
      </c>
      <c r="K25" s="57">
        <f>J25*G25</f>
        <v>21000.800000000003</v>
      </c>
      <c r="O25" s="90" t="s">
        <v>1158</v>
      </c>
    </row>
    <row r="26" spans="1:16" ht="28.5" x14ac:dyDescent="0.2">
      <c r="A26" s="154" t="s">
        <v>352</v>
      </c>
      <c r="B26" s="54" t="s">
        <v>353</v>
      </c>
      <c r="C26" s="54" t="s">
        <v>496</v>
      </c>
      <c r="D26" s="155">
        <v>1037</v>
      </c>
      <c r="E26" s="156">
        <v>42794</v>
      </c>
      <c r="F26" s="154">
        <v>3</v>
      </c>
      <c r="G26" s="157">
        <v>0.5</v>
      </c>
      <c r="H26" s="155">
        <v>420927</v>
      </c>
      <c r="I26" s="155">
        <v>700352.7</v>
      </c>
      <c r="J26" s="158">
        <v>72620</v>
      </c>
      <c r="K26" s="158">
        <f>J26*G26</f>
        <v>36310</v>
      </c>
      <c r="L26" s="159">
        <f>I26*10000*9500/100000000</f>
        <v>665335.06499999994</v>
      </c>
      <c r="M26" s="143">
        <f>(L26-J26-(I26*4500/10000)-J26*0.08)</f>
        <v>271746.74999999994</v>
      </c>
      <c r="N26" s="144">
        <f>M26/L26</f>
        <v>0.40843593595957545</v>
      </c>
      <c r="O26" s="54" t="s">
        <v>1079</v>
      </c>
      <c r="P26" s="68" t="s">
        <v>1080</v>
      </c>
    </row>
    <row r="27" spans="1:16" x14ac:dyDescent="0.2">
      <c r="A27" t="s">
        <v>354</v>
      </c>
      <c r="B27" s="54" t="s">
        <v>495</v>
      </c>
      <c r="C27" s="54" t="s">
        <v>532</v>
      </c>
      <c r="D27" s="56">
        <v>3418</v>
      </c>
      <c r="E27" s="81">
        <v>42809</v>
      </c>
      <c r="F27">
        <v>3</v>
      </c>
      <c r="G27" s="55">
        <v>1</v>
      </c>
      <c r="H27" s="56">
        <v>82117</v>
      </c>
      <c r="I27" s="56">
        <v>205292</v>
      </c>
      <c r="J27" s="57">
        <v>70170</v>
      </c>
      <c r="K27" s="57">
        <f>J27*G27</f>
        <v>70170</v>
      </c>
      <c r="O27" s="90" t="s">
        <v>1190</v>
      </c>
    </row>
    <row r="28" spans="1:16" ht="28.5" x14ac:dyDescent="0.2">
      <c r="A28" t="s">
        <v>1383</v>
      </c>
      <c r="B28" s="54" t="s">
        <v>1384</v>
      </c>
      <c r="C28" s="54" t="s">
        <v>471</v>
      </c>
      <c r="D28" s="56">
        <v>4200</v>
      </c>
      <c r="E28" s="81">
        <v>42934</v>
      </c>
      <c r="F28">
        <v>3</v>
      </c>
      <c r="G28" s="55">
        <v>1</v>
      </c>
      <c r="H28" s="56">
        <v>42340.21</v>
      </c>
      <c r="I28" s="56">
        <v>105850.53</v>
      </c>
      <c r="J28" s="57">
        <v>44457</v>
      </c>
      <c r="K28" s="57">
        <f>J28*G28</f>
        <v>44457</v>
      </c>
      <c r="O28" s="90" t="s">
        <v>1386</v>
      </c>
      <c r="P28" s="67" t="s">
        <v>1385</v>
      </c>
    </row>
    <row r="29" spans="1:16" s="180" customFormat="1" x14ac:dyDescent="0.2">
      <c r="A29" t="s">
        <v>542</v>
      </c>
      <c r="B29" s="54" t="s">
        <v>372</v>
      </c>
      <c r="C29" s="54" t="s">
        <v>468</v>
      </c>
      <c r="D29" s="56">
        <v>5738</v>
      </c>
      <c r="E29" s="81">
        <v>42892</v>
      </c>
      <c r="F29">
        <v>3</v>
      </c>
      <c r="G29" s="55">
        <v>0.5</v>
      </c>
      <c r="H29" s="56">
        <v>33423.9</v>
      </c>
      <c r="I29" s="56">
        <v>60163.02</v>
      </c>
      <c r="J29" s="57">
        <v>34500</v>
      </c>
      <c r="K29" s="57">
        <f>J29*G29</f>
        <v>17250</v>
      </c>
      <c r="L29" s="57"/>
      <c r="M29" s="57"/>
      <c r="N29" s="57"/>
      <c r="O29" s="90" t="s">
        <v>1413</v>
      </c>
      <c r="P29" s="67" t="s">
        <v>1412</v>
      </c>
    </row>
    <row r="30" spans="1:16" x14ac:dyDescent="0.2">
      <c r="A30" t="s">
        <v>1426</v>
      </c>
      <c r="B30" s="54" t="s">
        <v>400</v>
      </c>
      <c r="C30" s="61" t="s">
        <v>474</v>
      </c>
      <c r="D30" s="56">
        <v>2307</v>
      </c>
      <c r="E30" s="81">
        <v>42995</v>
      </c>
      <c r="F30">
        <v>3</v>
      </c>
      <c r="G30" s="55">
        <v>1</v>
      </c>
      <c r="H30" s="56">
        <v>51834</v>
      </c>
      <c r="I30" s="56">
        <v>134768.4</v>
      </c>
      <c r="J30" s="57">
        <v>31095</v>
      </c>
      <c r="K30" s="57">
        <f>J30*G30</f>
        <v>31095</v>
      </c>
      <c r="O30" s="90" t="s">
        <v>1428</v>
      </c>
      <c r="P30" s="67" t="s">
        <v>1427</v>
      </c>
    </row>
    <row r="31" spans="1:16" s="180" customFormat="1" x14ac:dyDescent="0.2">
      <c r="A31" t="s">
        <v>1457</v>
      </c>
      <c r="B31" s="54" t="s">
        <v>402</v>
      </c>
      <c r="C31" s="54" t="s">
        <v>514</v>
      </c>
      <c r="D31" s="56">
        <v>2714.02</v>
      </c>
      <c r="E31" s="81">
        <v>43020</v>
      </c>
      <c r="F31">
        <v>3</v>
      </c>
      <c r="G31" s="55">
        <v>1</v>
      </c>
      <c r="H31" s="56">
        <v>69389</v>
      </c>
      <c r="I31" s="56">
        <v>84185</v>
      </c>
      <c r="J31" s="57">
        <v>22848</v>
      </c>
      <c r="K31" s="57">
        <f>J31*G31</f>
        <v>22848</v>
      </c>
      <c r="L31" s="57"/>
      <c r="M31" s="57"/>
      <c r="N31" s="57"/>
      <c r="O31" s="90" t="s">
        <v>1458</v>
      </c>
      <c r="P31"/>
    </row>
    <row r="32" spans="1:16" x14ac:dyDescent="0.2">
      <c r="A32" t="s">
        <v>1449</v>
      </c>
      <c r="B32" s="54" t="s">
        <v>1952</v>
      </c>
      <c r="C32" s="54" t="s">
        <v>1954</v>
      </c>
      <c r="D32" s="56">
        <v>1505</v>
      </c>
      <c r="E32" s="81">
        <v>43040</v>
      </c>
      <c r="F32">
        <v>3</v>
      </c>
      <c r="G32" s="55">
        <v>1</v>
      </c>
      <c r="H32" s="56">
        <v>36997</v>
      </c>
      <c r="I32" s="56">
        <v>73994</v>
      </c>
      <c r="J32" s="57">
        <v>11136.1</v>
      </c>
      <c r="K32" s="57">
        <f>J32*G32</f>
        <v>11136.1</v>
      </c>
      <c r="O32" s="90" t="s">
        <v>1450</v>
      </c>
    </row>
    <row r="33" spans="1:16" x14ac:dyDescent="0.2">
      <c r="A33" t="s">
        <v>410</v>
      </c>
      <c r="B33" s="54" t="s">
        <v>1953</v>
      </c>
      <c r="C33" s="54" t="s">
        <v>412</v>
      </c>
      <c r="D33" s="56">
        <v>1505</v>
      </c>
      <c r="E33" s="81">
        <v>43040</v>
      </c>
      <c r="F33">
        <v>4</v>
      </c>
      <c r="G33" s="55">
        <v>1</v>
      </c>
      <c r="H33" s="56">
        <v>66093</v>
      </c>
      <c r="I33" s="56">
        <v>132186</v>
      </c>
      <c r="J33" s="57">
        <v>19893.990000000002</v>
      </c>
      <c r="K33" s="57">
        <f>J33*G33</f>
        <v>19893.990000000002</v>
      </c>
      <c r="O33" s="90" t="s">
        <v>1451</v>
      </c>
    </row>
    <row r="34" spans="1:16" s="415" customFormat="1" x14ac:dyDescent="0.2">
      <c r="B34" s="423"/>
      <c r="C34" s="423"/>
      <c r="D34" s="424"/>
      <c r="E34" s="429"/>
      <c r="G34" s="426"/>
      <c r="H34" s="424">
        <f>H32+H33</f>
        <v>103090</v>
      </c>
      <c r="I34" s="424">
        <f t="shared" ref="I34:J34" si="1">I32+I33</f>
        <v>206180</v>
      </c>
      <c r="J34" s="424">
        <f t="shared" si="1"/>
        <v>31030.090000000004</v>
      </c>
      <c r="K34" s="427"/>
      <c r="L34" s="427"/>
      <c r="M34" s="427"/>
      <c r="N34" s="427"/>
      <c r="O34" s="428"/>
    </row>
    <row r="35" spans="1:16" ht="28.5" x14ac:dyDescent="0.2">
      <c r="A35" t="s">
        <v>355</v>
      </c>
      <c r="B35" s="54" t="s">
        <v>423</v>
      </c>
      <c r="C35" s="54" t="s">
        <v>531</v>
      </c>
      <c r="D35" s="56">
        <v>8611</v>
      </c>
      <c r="E35" s="81">
        <v>42810</v>
      </c>
      <c r="F35">
        <v>4</v>
      </c>
      <c r="G35" s="55">
        <v>0.75</v>
      </c>
      <c r="H35" s="56">
        <v>71037.960000000006</v>
      </c>
      <c r="I35" s="56">
        <v>220217.68</v>
      </c>
      <c r="J35" s="57">
        <v>190000</v>
      </c>
      <c r="K35" s="57">
        <f>J35*G35</f>
        <v>142500</v>
      </c>
      <c r="O35" s="90" t="s">
        <v>1757</v>
      </c>
      <c r="P35" s="67" t="s">
        <v>1129</v>
      </c>
    </row>
    <row r="36" spans="1:16" s="199" customFormat="1" ht="28.5" x14ac:dyDescent="0.2">
      <c r="A36" s="199" t="s">
        <v>359</v>
      </c>
      <c r="B36" s="200" t="s">
        <v>1136</v>
      </c>
      <c r="C36" s="200" t="s">
        <v>1135</v>
      </c>
      <c r="D36" s="201">
        <v>9800</v>
      </c>
      <c r="E36" s="202">
        <v>42996</v>
      </c>
      <c r="F36" s="199">
        <v>4</v>
      </c>
      <c r="G36" s="203">
        <v>1</v>
      </c>
      <c r="H36" s="201">
        <v>54126.6</v>
      </c>
      <c r="I36" s="201">
        <v>135316.5</v>
      </c>
      <c r="J36" s="204">
        <v>132613</v>
      </c>
      <c r="K36" s="204">
        <f>J36*G36</f>
        <v>132613</v>
      </c>
      <c r="L36" s="204"/>
      <c r="M36" s="204"/>
      <c r="N36" s="204"/>
      <c r="O36" s="205" t="s">
        <v>1762</v>
      </c>
      <c r="P36" s="206" t="s">
        <v>1138</v>
      </c>
    </row>
    <row r="37" spans="1:16" s="154" customFormat="1" ht="28.5" x14ac:dyDescent="0.2">
      <c r="A37" t="s">
        <v>373</v>
      </c>
      <c r="B37" s="54" t="s">
        <v>459</v>
      </c>
      <c r="C37" s="54" t="s">
        <v>504</v>
      </c>
      <c r="D37" s="56">
        <v>5375.39</v>
      </c>
      <c r="E37" s="81">
        <v>42894</v>
      </c>
      <c r="F37">
        <v>4</v>
      </c>
      <c r="G37" s="55">
        <v>0.45</v>
      </c>
      <c r="H37" s="56">
        <v>108726</v>
      </c>
      <c r="I37" s="56">
        <v>195706.8</v>
      </c>
      <c r="J37" s="57">
        <v>105200</v>
      </c>
      <c r="K37" s="57">
        <f>J37*G37</f>
        <v>47340</v>
      </c>
      <c r="L37" s="57"/>
      <c r="M37" s="57"/>
      <c r="N37" s="57"/>
      <c r="O37" s="90" t="s">
        <v>1157</v>
      </c>
      <c r="P37"/>
    </row>
    <row r="38" spans="1:16" x14ac:dyDescent="0.2">
      <c r="A38" t="s">
        <v>350</v>
      </c>
      <c r="B38" s="54" t="s">
        <v>403</v>
      </c>
      <c r="C38" s="54" t="s">
        <v>391</v>
      </c>
      <c r="D38" s="56">
        <v>5084</v>
      </c>
      <c r="E38" s="81">
        <v>43024</v>
      </c>
      <c r="F38">
        <v>4</v>
      </c>
      <c r="G38" s="55">
        <v>0.2</v>
      </c>
      <c r="H38" s="56">
        <v>71456</v>
      </c>
      <c r="I38" s="56">
        <v>95000</v>
      </c>
      <c r="J38" s="57">
        <v>48299</v>
      </c>
      <c r="K38" s="57">
        <f>J38*G38</f>
        <v>9659.8000000000011</v>
      </c>
      <c r="O38" s="90" t="s">
        <v>1375</v>
      </c>
    </row>
    <row r="39" spans="1:16" x14ac:dyDescent="0.2">
      <c r="A39" t="s">
        <v>350</v>
      </c>
      <c r="B39" s="54" t="s">
        <v>1377</v>
      </c>
      <c r="C39" s="54" t="s">
        <v>472</v>
      </c>
      <c r="D39" s="56">
        <v>4655</v>
      </c>
      <c r="E39" s="81">
        <v>42969</v>
      </c>
      <c r="F39">
        <v>4</v>
      </c>
      <c r="G39" s="55">
        <v>0.19500000000000001</v>
      </c>
      <c r="H39" s="56">
        <v>49970</v>
      </c>
      <c r="I39" s="56">
        <v>99940</v>
      </c>
      <c r="J39" s="57">
        <v>46522</v>
      </c>
      <c r="K39" s="57">
        <f>J39*G39</f>
        <v>9071.7900000000009</v>
      </c>
      <c r="O39" s="90" t="s">
        <v>1378</v>
      </c>
    </row>
    <row r="40" spans="1:16" s="415" customFormat="1" ht="28.5" x14ac:dyDescent="0.2">
      <c r="A40" s="415" t="s">
        <v>366</v>
      </c>
      <c r="B40" s="423" t="s">
        <v>443</v>
      </c>
      <c r="C40" s="423" t="s">
        <v>501</v>
      </c>
      <c r="D40" s="424">
        <v>8377.61</v>
      </c>
      <c r="E40" s="425">
        <v>42865</v>
      </c>
      <c r="F40" s="415">
        <v>4</v>
      </c>
      <c r="G40" s="426">
        <v>1</v>
      </c>
      <c r="H40" s="424">
        <v>22633</v>
      </c>
      <c r="I40" s="424">
        <v>52282.23</v>
      </c>
      <c r="J40" s="427">
        <v>43800</v>
      </c>
      <c r="K40" s="427">
        <f>J40*G40</f>
        <v>43800</v>
      </c>
      <c r="L40" s="427"/>
      <c r="M40" s="427"/>
      <c r="N40" s="427"/>
      <c r="O40" s="428" t="s">
        <v>1382</v>
      </c>
    </row>
    <row r="41" spans="1:16" s="415" customFormat="1" ht="28.5" x14ac:dyDescent="0.2">
      <c r="A41" t="s">
        <v>1381</v>
      </c>
      <c r="B41" s="54" t="s">
        <v>458</v>
      </c>
      <c r="C41" s="54" t="s">
        <v>502</v>
      </c>
      <c r="D41" s="56">
        <v>8045.37</v>
      </c>
      <c r="E41" s="82">
        <v>42865</v>
      </c>
      <c r="F41">
        <v>5</v>
      </c>
      <c r="G41" s="55">
        <v>1</v>
      </c>
      <c r="H41" s="56">
        <v>25198</v>
      </c>
      <c r="I41" s="56">
        <v>55435.6</v>
      </c>
      <c r="J41" s="57">
        <v>44600</v>
      </c>
      <c r="K41" s="57">
        <f>J41*G41</f>
        <v>44600</v>
      </c>
      <c r="L41" s="57"/>
      <c r="M41" s="57"/>
      <c r="N41" s="57"/>
      <c r="O41" s="90" t="s">
        <v>1382</v>
      </c>
      <c r="P41"/>
    </row>
    <row r="42" spans="1:16" s="415" customFormat="1" x14ac:dyDescent="0.2">
      <c r="A42"/>
      <c r="B42" s="54"/>
      <c r="C42" s="54"/>
      <c r="D42" s="56">
        <f>J42/I42*10000</f>
        <v>8206.62651670573</v>
      </c>
      <c r="E42" s="82"/>
      <c r="F42"/>
      <c r="G42" s="55"/>
      <c r="H42" s="56">
        <f>SUM(H40:H41)</f>
        <v>47831</v>
      </c>
      <c r="I42" s="56">
        <f>SUM(I40:I41)</f>
        <v>107717.83</v>
      </c>
      <c r="J42" s="56">
        <f>SUM(J40:J41)</f>
        <v>88400</v>
      </c>
      <c r="K42" s="57"/>
      <c r="L42" s="57"/>
      <c r="M42" s="57"/>
      <c r="N42" s="57"/>
      <c r="O42" s="90"/>
      <c r="P42"/>
    </row>
    <row r="43" spans="1:16" x14ac:dyDescent="0.2">
      <c r="A43" t="s">
        <v>1399</v>
      </c>
      <c r="B43" s="54" t="s">
        <v>446</v>
      </c>
      <c r="C43" s="54" t="s">
        <v>539</v>
      </c>
      <c r="D43" s="56">
        <v>5805.52</v>
      </c>
      <c r="E43" s="81">
        <v>42851</v>
      </c>
      <c r="F43">
        <v>4</v>
      </c>
      <c r="G43" s="55">
        <v>0.25</v>
      </c>
      <c r="H43" s="56">
        <v>34805</v>
      </c>
      <c r="I43" s="56">
        <v>62649</v>
      </c>
      <c r="J43" s="57">
        <v>36371</v>
      </c>
      <c r="K43" s="57">
        <f>J43*G43</f>
        <v>9092.75</v>
      </c>
      <c r="O43" s="90" t="s">
        <v>1409</v>
      </c>
      <c r="P43" s="67" t="s">
        <v>1408</v>
      </c>
    </row>
    <row r="44" spans="1:16" ht="42.75" x14ac:dyDescent="0.2">
      <c r="A44" t="s">
        <v>554</v>
      </c>
      <c r="B44" s="54" t="s">
        <v>508</v>
      </c>
      <c r="C44" s="54" t="s">
        <v>507</v>
      </c>
      <c r="D44" s="56">
        <v>5222</v>
      </c>
      <c r="E44" s="81">
        <v>42937</v>
      </c>
      <c r="F44">
        <v>4</v>
      </c>
      <c r="G44" s="55">
        <v>1</v>
      </c>
      <c r="H44" s="56">
        <v>36740</v>
      </c>
      <c r="I44" s="56">
        <v>66132</v>
      </c>
      <c r="J44" s="57">
        <v>34536</v>
      </c>
      <c r="K44" s="57">
        <f>J44*G44</f>
        <v>34536</v>
      </c>
      <c r="O44" s="90" t="s">
        <v>1411</v>
      </c>
    </row>
    <row r="45" spans="1:16" s="199" customFormat="1" x14ac:dyDescent="0.2">
      <c r="A45" s="199" t="s">
        <v>392</v>
      </c>
      <c r="B45" s="200" t="s">
        <v>1166</v>
      </c>
      <c r="C45" s="200" t="s">
        <v>1955</v>
      </c>
      <c r="D45" s="201">
        <v>9916</v>
      </c>
      <c r="E45" s="202">
        <v>43025</v>
      </c>
      <c r="F45" s="199">
        <v>5</v>
      </c>
      <c r="G45" s="203">
        <v>1</v>
      </c>
      <c r="H45" s="201">
        <v>58444.63</v>
      </c>
      <c r="I45" s="201">
        <v>99355.87</v>
      </c>
      <c r="J45" s="204">
        <v>98517</v>
      </c>
      <c r="K45" s="204">
        <f>J45*G45</f>
        <v>98517</v>
      </c>
      <c r="L45" s="204"/>
      <c r="M45" s="204"/>
      <c r="N45" s="204"/>
      <c r="O45" s="205" t="s">
        <v>1167</v>
      </c>
    </row>
    <row r="46" spans="1:16" x14ac:dyDescent="0.2">
      <c r="A46" t="s">
        <v>359</v>
      </c>
      <c r="B46" s="54" t="s">
        <v>399</v>
      </c>
      <c r="C46" s="54" t="s">
        <v>460</v>
      </c>
      <c r="D46" s="56">
        <v>9100</v>
      </c>
      <c r="E46" s="81">
        <v>42996</v>
      </c>
      <c r="F46">
        <v>5</v>
      </c>
      <c r="G46" s="55">
        <v>1</v>
      </c>
      <c r="H46" s="56">
        <v>27354.560000000001</v>
      </c>
      <c r="I46" s="56">
        <v>68386.399999999994</v>
      </c>
      <c r="J46" s="57">
        <v>62232</v>
      </c>
      <c r="K46" s="57">
        <f>J46*G46</f>
        <v>62232</v>
      </c>
      <c r="O46" s="90" t="s">
        <v>1137</v>
      </c>
    </row>
    <row r="47" spans="1:16" ht="28.5" x14ac:dyDescent="0.2">
      <c r="A47" t="s">
        <v>367</v>
      </c>
      <c r="B47" s="54" t="s">
        <v>424</v>
      </c>
      <c r="C47" s="54" t="s">
        <v>527</v>
      </c>
      <c r="D47" s="56">
        <v>2492</v>
      </c>
      <c r="E47" s="81">
        <v>42941</v>
      </c>
      <c r="F47">
        <v>5</v>
      </c>
      <c r="G47" s="55">
        <v>0.25</v>
      </c>
      <c r="H47" s="56">
        <v>82741</v>
      </c>
      <c r="I47" s="56">
        <v>198578.4</v>
      </c>
      <c r="J47" s="57">
        <v>49479</v>
      </c>
      <c r="K47" s="57">
        <f>J47*G47</f>
        <v>12369.75</v>
      </c>
      <c r="O47" s="90" t="s">
        <v>1371</v>
      </c>
    </row>
    <row r="48" spans="1:16" ht="28.5" x14ac:dyDescent="0.2">
      <c r="A48" t="s">
        <v>1373</v>
      </c>
      <c r="B48" s="54" t="s">
        <v>1372</v>
      </c>
      <c r="C48" s="54" t="s">
        <v>518</v>
      </c>
      <c r="D48" s="56">
        <v>2178.2600000000002</v>
      </c>
      <c r="E48" s="81">
        <v>43040</v>
      </c>
      <c r="F48">
        <v>5</v>
      </c>
      <c r="G48" s="55">
        <v>1</v>
      </c>
      <c r="H48" s="56">
        <v>96876</v>
      </c>
      <c r="I48" s="56">
        <v>222815</v>
      </c>
      <c r="J48" s="57">
        <v>48534.875999999997</v>
      </c>
      <c r="K48" s="57">
        <f>J48*G48</f>
        <v>48534.875999999997</v>
      </c>
      <c r="O48" s="90" t="s">
        <v>1374</v>
      </c>
    </row>
    <row r="49" spans="1:16" x14ac:dyDescent="0.2">
      <c r="A49" t="s">
        <v>1399</v>
      </c>
      <c r="B49" s="54" t="s">
        <v>447</v>
      </c>
      <c r="C49" s="54" t="s">
        <v>538</v>
      </c>
      <c r="D49" s="56">
        <v>6023.47</v>
      </c>
      <c r="E49" s="81">
        <v>42851</v>
      </c>
      <c r="F49">
        <v>5</v>
      </c>
      <c r="G49" s="55">
        <v>0.3</v>
      </c>
      <c r="H49" s="56">
        <v>36771</v>
      </c>
      <c r="I49" s="56">
        <v>66187.8</v>
      </c>
      <c r="J49" s="57">
        <v>39868</v>
      </c>
      <c r="K49" s="57">
        <f>J49*G49</f>
        <v>11960.4</v>
      </c>
      <c r="O49" s="90" t="s">
        <v>1400</v>
      </c>
      <c r="P49" s="67" t="s">
        <v>1401</v>
      </c>
    </row>
    <row r="50" spans="1:16" s="199" customFormat="1" ht="28.5" x14ac:dyDescent="0.2">
      <c r="A50" s="199" t="s">
        <v>1429</v>
      </c>
      <c r="B50" s="200" t="s">
        <v>492</v>
      </c>
      <c r="C50" s="200" t="s">
        <v>498</v>
      </c>
      <c r="D50" s="201">
        <v>3871.4</v>
      </c>
      <c r="E50" s="202">
        <v>42816</v>
      </c>
      <c r="F50" s="199">
        <v>5</v>
      </c>
      <c r="G50" s="203">
        <v>0.5</v>
      </c>
      <c r="H50" s="201">
        <v>49221.54</v>
      </c>
      <c r="I50" s="201">
        <v>78754.460000000006</v>
      </c>
      <c r="J50" s="204">
        <v>30489</v>
      </c>
      <c r="K50" s="204">
        <f>J50*G50</f>
        <v>15244.5</v>
      </c>
      <c r="L50" s="204"/>
      <c r="M50" s="204"/>
      <c r="N50" s="204"/>
      <c r="O50" s="205" t="s">
        <v>1431</v>
      </c>
    </row>
    <row r="51" spans="1:16" x14ac:dyDescent="0.2">
      <c r="A51" s="90" t="s">
        <v>1464</v>
      </c>
      <c r="B51" s="54" t="s">
        <v>441</v>
      </c>
      <c r="C51" s="54" t="s">
        <v>469</v>
      </c>
      <c r="D51" s="56">
        <v>7075</v>
      </c>
      <c r="E51" s="81">
        <v>42901</v>
      </c>
      <c r="F51">
        <v>5</v>
      </c>
      <c r="G51" s="55">
        <v>1</v>
      </c>
      <c r="H51" s="56">
        <v>10953.3</v>
      </c>
      <c r="I51" s="56">
        <v>21906.799999999999</v>
      </c>
      <c r="J51" s="57">
        <v>15500</v>
      </c>
      <c r="K51" s="57">
        <f>J51*G51</f>
        <v>15500</v>
      </c>
      <c r="O51" s="90"/>
    </row>
    <row r="52" spans="1:16" x14ac:dyDescent="0.2">
      <c r="A52" t="s">
        <v>1426</v>
      </c>
      <c r="B52" s="54" t="s">
        <v>1430</v>
      </c>
      <c r="C52" s="54" t="s">
        <v>473</v>
      </c>
      <c r="D52" s="56">
        <v>1593</v>
      </c>
      <c r="E52" s="81">
        <v>42969</v>
      </c>
      <c r="F52">
        <v>5</v>
      </c>
      <c r="G52" s="55">
        <v>0.25</v>
      </c>
      <c r="H52" s="56">
        <v>31599</v>
      </c>
      <c r="I52" s="56">
        <v>94790</v>
      </c>
      <c r="J52" s="57">
        <v>15095.7</v>
      </c>
      <c r="K52" s="57">
        <f>J52*G52</f>
        <v>3773.9250000000002</v>
      </c>
      <c r="O52" s="90"/>
    </row>
    <row r="53" spans="1:16" s="69" customFormat="1" ht="28.5" x14ac:dyDescent="0.2">
      <c r="A53" t="s">
        <v>414</v>
      </c>
      <c r="B53" s="54" t="s">
        <v>431</v>
      </c>
      <c r="C53" s="54" t="s">
        <v>519</v>
      </c>
      <c r="D53" s="56">
        <v>8300</v>
      </c>
      <c r="E53" s="81">
        <v>43040</v>
      </c>
      <c r="F53">
        <v>6</v>
      </c>
      <c r="G53" s="55">
        <v>0.3</v>
      </c>
      <c r="H53" s="56">
        <v>134254</v>
      </c>
      <c r="I53" s="56">
        <v>214806</v>
      </c>
      <c r="J53" s="57">
        <v>178289.31200000001</v>
      </c>
      <c r="K53" s="57">
        <f>J53*G53</f>
        <v>53486.793599999997</v>
      </c>
      <c r="L53" s="57"/>
      <c r="M53" s="57"/>
      <c r="N53" s="57"/>
      <c r="O53" s="90" t="s">
        <v>1132</v>
      </c>
      <c r="P53" s="67" t="s">
        <v>1131</v>
      </c>
    </row>
    <row r="54" spans="1:16" s="415" customFormat="1" x14ac:dyDescent="0.2">
      <c r="A54" s="415" t="s">
        <v>384</v>
      </c>
      <c r="B54" s="416" t="s">
        <v>1143</v>
      </c>
      <c r="C54" s="416" t="s">
        <v>512</v>
      </c>
      <c r="D54" s="417">
        <v>4455.0600000000004</v>
      </c>
      <c r="E54" s="418">
        <v>42997</v>
      </c>
      <c r="F54" s="415">
        <v>6</v>
      </c>
      <c r="G54" s="419">
        <v>0.4</v>
      </c>
      <c r="H54" s="417">
        <v>113366</v>
      </c>
      <c r="I54" s="417">
        <v>283415</v>
      </c>
      <c r="J54" s="420">
        <v>126263</v>
      </c>
      <c r="K54" s="420">
        <f>J54*G54</f>
        <v>50505.200000000004</v>
      </c>
      <c r="L54" s="420"/>
      <c r="M54" s="420"/>
      <c r="N54" s="420"/>
      <c r="O54" s="421" t="s">
        <v>1144</v>
      </c>
    </row>
    <row r="55" spans="1:16" x14ac:dyDescent="0.2">
      <c r="A55" t="s">
        <v>362</v>
      </c>
      <c r="B55" s="54" t="s">
        <v>448</v>
      </c>
      <c r="C55" s="54" t="s">
        <v>1147</v>
      </c>
      <c r="D55" s="56">
        <v>6351.77</v>
      </c>
      <c r="E55" s="81">
        <v>42851</v>
      </c>
      <c r="F55">
        <v>6</v>
      </c>
      <c r="G55" s="55">
        <v>0.49</v>
      </c>
      <c r="H55" s="56">
        <v>69598</v>
      </c>
      <c r="I55" s="56">
        <v>187914.6</v>
      </c>
      <c r="J55" s="57">
        <v>119359</v>
      </c>
      <c r="K55" s="57">
        <f>J55*G55</f>
        <v>58485.909999999996</v>
      </c>
      <c r="O55" s="90" t="s">
        <v>1148</v>
      </c>
    </row>
    <row r="56" spans="1:16" x14ac:dyDescent="0.2">
      <c r="A56" t="s">
        <v>350</v>
      </c>
      <c r="B56" s="54" t="s">
        <v>1168</v>
      </c>
      <c r="C56" s="54" t="s">
        <v>543</v>
      </c>
      <c r="D56" s="56">
        <v>5633.45</v>
      </c>
      <c r="E56" s="81">
        <v>42907</v>
      </c>
      <c r="F56">
        <v>6</v>
      </c>
      <c r="G56" s="55">
        <v>0.17</v>
      </c>
      <c r="H56" s="56">
        <v>86651.71</v>
      </c>
      <c r="I56" s="56">
        <v>173044</v>
      </c>
      <c r="J56" s="57">
        <v>97483</v>
      </c>
      <c r="K56" s="57">
        <f>J56*G56</f>
        <v>16572.11</v>
      </c>
      <c r="O56" s="90" t="s">
        <v>1169</v>
      </c>
    </row>
    <row r="57" spans="1:16" x14ac:dyDescent="0.2">
      <c r="A57" t="s">
        <v>1387</v>
      </c>
      <c r="B57" s="54" t="s">
        <v>456</v>
      </c>
      <c r="C57" s="54" t="s">
        <v>497</v>
      </c>
      <c r="D57" s="56">
        <v>10299.89</v>
      </c>
      <c r="E57" s="81">
        <v>42822</v>
      </c>
      <c r="F57">
        <v>6</v>
      </c>
      <c r="G57" s="55">
        <v>0.11</v>
      </c>
      <c r="H57" s="56">
        <v>34628.199999999997</v>
      </c>
      <c r="I57" s="56">
        <v>41553.839999999997</v>
      </c>
      <c r="J57" s="57">
        <v>42800</v>
      </c>
      <c r="K57" s="57">
        <f>J57*G57</f>
        <v>4708</v>
      </c>
      <c r="O57" s="90" t="s">
        <v>1389</v>
      </c>
      <c r="P57" s="67" t="s">
        <v>1388</v>
      </c>
    </row>
    <row r="58" spans="1:16" x14ac:dyDescent="0.2">
      <c r="A58" t="s">
        <v>1420</v>
      </c>
      <c r="B58" s="54" t="s">
        <v>442</v>
      </c>
      <c r="C58" s="54" t="s">
        <v>503</v>
      </c>
      <c r="D58" s="56">
        <v>1038.42</v>
      </c>
      <c r="E58" s="81">
        <v>42870</v>
      </c>
      <c r="F58">
        <v>6</v>
      </c>
      <c r="G58" s="55">
        <v>1</v>
      </c>
      <c r="H58" s="56">
        <v>143793.60000000001</v>
      </c>
      <c r="I58" s="56">
        <v>316345.92</v>
      </c>
      <c r="J58" s="57">
        <v>32850</v>
      </c>
      <c r="K58" s="57">
        <f>J58*G58</f>
        <v>32850</v>
      </c>
      <c r="O58" s="90" t="s">
        <v>1421</v>
      </c>
    </row>
    <row r="59" spans="1:16" x14ac:dyDescent="0.2">
      <c r="A59" t="s">
        <v>1441</v>
      </c>
      <c r="B59" s="54" t="s">
        <v>394</v>
      </c>
      <c r="C59" s="54" t="s">
        <v>346</v>
      </c>
      <c r="D59" s="56">
        <v>5449</v>
      </c>
      <c r="E59" s="81">
        <v>43026</v>
      </c>
      <c r="F59">
        <v>6</v>
      </c>
      <c r="G59" s="55">
        <v>0.33</v>
      </c>
      <c r="H59" s="56">
        <v>27484.400000000001</v>
      </c>
      <c r="I59" s="56">
        <v>46723.48</v>
      </c>
      <c r="J59" s="57">
        <v>25459</v>
      </c>
      <c r="K59" s="57">
        <f>J59*G59</f>
        <v>8401.4700000000012</v>
      </c>
      <c r="O59" s="90" t="s">
        <v>1442</v>
      </c>
    </row>
    <row r="60" spans="1:16" s="199" customFormat="1" x14ac:dyDescent="0.2">
      <c r="A60" t="s">
        <v>350</v>
      </c>
      <c r="B60" s="54" t="s">
        <v>1134</v>
      </c>
      <c r="C60" s="54" t="s">
        <v>395</v>
      </c>
      <c r="D60" s="56">
        <v>7020</v>
      </c>
      <c r="E60" s="81">
        <v>43026</v>
      </c>
      <c r="F60">
        <v>7</v>
      </c>
      <c r="G60" s="55">
        <v>0.3</v>
      </c>
      <c r="H60" s="56">
        <v>101658.05</v>
      </c>
      <c r="I60" s="56">
        <v>203316.1</v>
      </c>
      <c r="J60" s="57">
        <v>142727.9</v>
      </c>
      <c r="K60" s="57">
        <f>J60*G60</f>
        <v>42818.369999999995</v>
      </c>
      <c r="L60" s="57"/>
      <c r="M60" s="57"/>
      <c r="N60" s="57"/>
      <c r="O60" s="90" t="s">
        <v>1466</v>
      </c>
      <c r="P60"/>
    </row>
    <row r="61" spans="1:16" s="69" customFormat="1" ht="28.5" x14ac:dyDescent="0.2">
      <c r="A61" s="154" t="s">
        <v>352</v>
      </c>
      <c r="B61" s="54" t="s">
        <v>1081</v>
      </c>
      <c r="C61" s="54" t="s">
        <v>470</v>
      </c>
      <c r="D61" s="155">
        <v>7634.45</v>
      </c>
      <c r="E61" s="156">
        <v>42909</v>
      </c>
      <c r="F61" s="154">
        <v>7</v>
      </c>
      <c r="G61" s="157">
        <v>0.33</v>
      </c>
      <c r="H61" s="155">
        <v>118571.8</v>
      </c>
      <c r="I61" s="155">
        <f>154143.34+67500</f>
        <v>221643.34</v>
      </c>
      <c r="J61" s="158">
        <v>117680</v>
      </c>
      <c r="K61" s="158">
        <f>J61*G61</f>
        <v>38834.400000000001</v>
      </c>
      <c r="L61" s="159">
        <f>I61*10000*17000/100000000</f>
        <v>376793.67800000001</v>
      </c>
      <c r="M61" s="143">
        <f>(L61-J61-(I61*4500/10000)-J61*0.08)</f>
        <v>149959.77500000002</v>
      </c>
      <c r="N61" s="144">
        <f>M61/L61</f>
        <v>0.39798909524166703</v>
      </c>
      <c r="O61" s="54" t="s">
        <v>1088</v>
      </c>
      <c r="P61" s="68" t="s">
        <v>1082</v>
      </c>
    </row>
    <row r="62" spans="1:16" x14ac:dyDescent="0.2">
      <c r="A62" t="s">
        <v>1163</v>
      </c>
      <c r="B62" s="54" t="s">
        <v>1161</v>
      </c>
      <c r="C62" s="54" t="s">
        <v>536</v>
      </c>
      <c r="D62" s="56">
        <v>6632</v>
      </c>
      <c r="E62" s="81">
        <v>42825</v>
      </c>
      <c r="F62">
        <v>7</v>
      </c>
      <c r="G62" s="55">
        <v>0.5</v>
      </c>
      <c r="H62" s="56">
        <v>35327.86</v>
      </c>
      <c r="I62" s="56">
        <v>52991.79</v>
      </c>
      <c r="J62" s="57">
        <v>100700</v>
      </c>
      <c r="K62" s="57">
        <f>J62*G62</f>
        <v>50350</v>
      </c>
      <c r="O62" s="90" t="s">
        <v>1165</v>
      </c>
      <c r="P62" s="67" t="s">
        <v>1162</v>
      </c>
    </row>
    <row r="63" spans="1:16" x14ac:dyDescent="0.2">
      <c r="A63" t="s">
        <v>1406</v>
      </c>
      <c r="B63" s="54" t="s">
        <v>1405</v>
      </c>
      <c r="C63" s="54" t="s">
        <v>513</v>
      </c>
      <c r="D63" s="56">
        <v>2331</v>
      </c>
      <c r="E63" s="81">
        <v>43006</v>
      </c>
      <c r="F63">
        <v>7</v>
      </c>
      <c r="G63" s="55">
        <v>0.25</v>
      </c>
      <c r="H63" s="56">
        <v>65068.6</v>
      </c>
      <c r="I63" s="56">
        <v>162671.5</v>
      </c>
      <c r="J63" s="57">
        <v>37914</v>
      </c>
      <c r="K63" s="57">
        <f>J63*G63</f>
        <v>9478.5</v>
      </c>
      <c r="O63" s="90" t="s">
        <v>1407</v>
      </c>
    </row>
    <row r="64" spans="1:16" x14ac:dyDescent="0.2">
      <c r="A64" t="s">
        <v>1414</v>
      </c>
      <c r="B64" s="54" t="s">
        <v>432</v>
      </c>
      <c r="C64" s="54" t="s">
        <v>480</v>
      </c>
      <c r="D64" s="56">
        <v>4056</v>
      </c>
      <c r="E64" s="81">
        <v>43041</v>
      </c>
      <c r="F64">
        <v>7</v>
      </c>
      <c r="G64" s="55">
        <v>0.25</v>
      </c>
      <c r="H64" s="56">
        <v>33900</v>
      </c>
      <c r="I64" s="56">
        <v>84750</v>
      </c>
      <c r="J64" s="57">
        <v>34374.6</v>
      </c>
      <c r="K64" s="57">
        <f>J64*G64</f>
        <v>8593.65</v>
      </c>
      <c r="O64" s="90" t="s">
        <v>1416</v>
      </c>
      <c r="P64" s="67" t="s">
        <v>1415</v>
      </c>
    </row>
    <row r="65" spans="1:16" x14ac:dyDescent="0.2">
      <c r="A65" t="s">
        <v>1420</v>
      </c>
      <c r="B65" s="54" t="s">
        <v>449</v>
      </c>
      <c r="C65" s="54" t="s">
        <v>450</v>
      </c>
      <c r="D65" s="56">
        <v>1001.26</v>
      </c>
      <c r="E65" s="81">
        <v>42870</v>
      </c>
      <c r="F65">
        <v>7</v>
      </c>
      <c r="G65" s="55">
        <v>1</v>
      </c>
      <c r="H65" s="56">
        <v>82466.3</v>
      </c>
      <c r="I65" s="56">
        <v>164932.6</v>
      </c>
      <c r="J65" s="57">
        <v>16514</v>
      </c>
      <c r="K65" s="57">
        <f>J65*G65</f>
        <v>16514</v>
      </c>
      <c r="O65" s="90" t="s">
        <v>1462</v>
      </c>
      <c r="P65" s="67" t="s">
        <v>1463</v>
      </c>
    </row>
    <row r="66" spans="1:16" ht="28.5" x14ac:dyDescent="0.2">
      <c r="A66" t="s">
        <v>396</v>
      </c>
      <c r="B66" s="54" t="s">
        <v>1765</v>
      </c>
      <c r="C66" s="54" t="s">
        <v>476</v>
      </c>
      <c r="D66" s="56">
        <v>4563</v>
      </c>
      <c r="E66" s="81">
        <v>43028</v>
      </c>
      <c r="F66">
        <v>8</v>
      </c>
      <c r="G66" s="55">
        <v>0.51</v>
      </c>
      <c r="H66" s="56">
        <v>75614</v>
      </c>
      <c r="I66" s="56">
        <v>287332</v>
      </c>
      <c r="J66" s="57">
        <v>131118.68</v>
      </c>
      <c r="K66" s="57">
        <f>J66*G66</f>
        <v>66870.526799999992</v>
      </c>
      <c r="O66" s="90" t="s">
        <v>1764</v>
      </c>
      <c r="P66" s="67" t="s">
        <v>1141</v>
      </c>
    </row>
    <row r="67" spans="1:16" x14ac:dyDescent="0.2">
      <c r="A67" t="s">
        <v>362</v>
      </c>
      <c r="B67" s="54" t="s">
        <v>433</v>
      </c>
      <c r="C67" s="54" t="s">
        <v>520</v>
      </c>
      <c r="D67" s="56">
        <v>9932</v>
      </c>
      <c r="E67" s="81">
        <v>43041</v>
      </c>
      <c r="F67">
        <v>8</v>
      </c>
      <c r="G67" s="55">
        <v>0.3</v>
      </c>
      <c r="H67" s="56">
        <v>59747</v>
      </c>
      <c r="I67" s="56">
        <v>131443</v>
      </c>
      <c r="J67" s="57">
        <v>130550</v>
      </c>
      <c r="K67" s="57">
        <f>J67*G67</f>
        <v>39165</v>
      </c>
      <c r="O67" s="90" t="s">
        <v>1142</v>
      </c>
    </row>
    <row r="68" spans="1:16" x14ac:dyDescent="0.2">
      <c r="A68" t="s">
        <v>385</v>
      </c>
      <c r="B68" s="54" t="s">
        <v>387</v>
      </c>
      <c r="C68" s="54" t="s">
        <v>386</v>
      </c>
      <c r="D68" s="56">
        <v>2292.13</v>
      </c>
      <c r="E68" s="81">
        <v>43006</v>
      </c>
      <c r="F68">
        <v>8</v>
      </c>
      <c r="G68" s="55">
        <v>0.25</v>
      </c>
      <c r="H68" s="56">
        <v>65855.3</v>
      </c>
      <c r="I68" s="56">
        <v>164638.25</v>
      </c>
      <c r="J68" s="57">
        <v>37737.199999999997</v>
      </c>
      <c r="K68" s="57">
        <f>J68*G68</f>
        <v>9434.2999999999993</v>
      </c>
      <c r="O68" s="90" t="s">
        <v>1407</v>
      </c>
    </row>
    <row r="69" spans="1:16" s="69" customFormat="1" x14ac:dyDescent="0.2">
      <c r="A69" s="69" t="s">
        <v>374</v>
      </c>
      <c r="B69" s="384" t="s">
        <v>506</v>
      </c>
      <c r="C69" s="384" t="s">
        <v>505</v>
      </c>
      <c r="D69" s="385">
        <v>2708.35</v>
      </c>
      <c r="E69" s="386">
        <v>42911</v>
      </c>
      <c r="F69" s="69">
        <v>8</v>
      </c>
      <c r="G69" s="387">
        <v>1</v>
      </c>
      <c r="H69" s="385">
        <v>66773.7</v>
      </c>
      <c r="I69" s="385">
        <v>133240</v>
      </c>
      <c r="J69" s="388">
        <v>36086</v>
      </c>
      <c r="K69" s="388">
        <f>J69*G69</f>
        <v>36086</v>
      </c>
      <c r="L69" s="388"/>
      <c r="M69" s="388"/>
      <c r="N69" s="388"/>
      <c r="O69" s="389" t="s">
        <v>1410</v>
      </c>
    </row>
    <row r="70" spans="1:16" x14ac:dyDescent="0.2">
      <c r="A70" s="199" t="s">
        <v>1432</v>
      </c>
      <c r="B70" s="200" t="s">
        <v>368</v>
      </c>
      <c r="C70" s="200" t="s">
        <v>380</v>
      </c>
      <c r="D70" s="201">
        <v>7104.76</v>
      </c>
      <c r="E70" s="202">
        <v>42878</v>
      </c>
      <c r="F70" s="199">
        <v>8</v>
      </c>
      <c r="G70" s="203">
        <v>0.33300000000000002</v>
      </c>
      <c r="H70" s="201">
        <v>31333</v>
      </c>
      <c r="I70" s="201">
        <v>32899.65</v>
      </c>
      <c r="J70" s="204">
        <v>23374</v>
      </c>
      <c r="K70" s="204">
        <f>J70*G70</f>
        <v>7783.5420000000004</v>
      </c>
      <c r="L70" s="204"/>
      <c r="M70" s="204"/>
      <c r="N70" s="204"/>
      <c r="O70" s="205" t="s">
        <v>1456</v>
      </c>
      <c r="P70" s="199"/>
    </row>
    <row r="71" spans="1:16" x14ac:dyDescent="0.2">
      <c r="A71" t="s">
        <v>357</v>
      </c>
      <c r="B71" s="54" t="s">
        <v>358</v>
      </c>
      <c r="C71" s="54" t="s">
        <v>457</v>
      </c>
      <c r="E71" s="81">
        <v>42825</v>
      </c>
      <c r="F71">
        <v>8</v>
      </c>
      <c r="H71" s="56">
        <v>65893</v>
      </c>
      <c r="I71" s="56">
        <v>98839.5</v>
      </c>
      <c r="K71" s="57">
        <f>J71*G71</f>
        <v>0</v>
      </c>
      <c r="O71" s="90" t="s">
        <v>1164</v>
      </c>
    </row>
    <row r="72" spans="1:16" x14ac:dyDescent="0.2">
      <c r="A72" t="s">
        <v>1153</v>
      </c>
      <c r="B72" s="54" t="s">
        <v>1152</v>
      </c>
      <c r="C72" s="54" t="s">
        <v>347</v>
      </c>
      <c r="D72" s="56">
        <v>4291.38</v>
      </c>
      <c r="E72" s="81">
        <v>43029</v>
      </c>
      <c r="F72">
        <v>9</v>
      </c>
      <c r="G72" s="55">
        <v>1</v>
      </c>
      <c r="H72" s="56">
        <v>65467</v>
      </c>
      <c r="I72" s="56">
        <v>267105</v>
      </c>
      <c r="J72" s="57">
        <v>114625</v>
      </c>
      <c r="K72" s="57">
        <f>J72*G72</f>
        <v>114625</v>
      </c>
      <c r="O72" s="90" t="s">
        <v>1754</v>
      </c>
      <c r="P72" s="67" t="s">
        <v>1154</v>
      </c>
    </row>
    <row r="73" spans="1:16" s="443" customFormat="1" x14ac:dyDescent="0.2">
      <c r="A73" s="199" t="s">
        <v>356</v>
      </c>
      <c r="B73" s="200" t="s">
        <v>1196</v>
      </c>
      <c r="C73" s="200" t="s">
        <v>544</v>
      </c>
      <c r="D73" s="201">
        <v>4260.16</v>
      </c>
      <c r="E73" s="202">
        <v>42916</v>
      </c>
      <c r="F73" s="199">
        <v>9</v>
      </c>
      <c r="G73" s="203">
        <v>0.14779999999999999</v>
      </c>
      <c r="H73" s="201">
        <v>69206.25</v>
      </c>
      <c r="I73" s="201">
        <v>138412.5</v>
      </c>
      <c r="J73" s="204">
        <v>58966</v>
      </c>
      <c r="K73" s="204">
        <f>J73*G73</f>
        <v>8715.1747999999989</v>
      </c>
      <c r="L73" s="204"/>
      <c r="M73" s="204"/>
      <c r="N73" s="204"/>
      <c r="O73" s="205" t="s">
        <v>1198</v>
      </c>
      <c r="P73" s="206" t="s">
        <v>1197</v>
      </c>
    </row>
    <row r="74" spans="1:16" s="199" customFormat="1" x14ac:dyDescent="0.2">
      <c r="A74" s="199" t="s">
        <v>1429</v>
      </c>
      <c r="B74" s="200" t="s">
        <v>376</v>
      </c>
      <c r="C74" s="200" t="s">
        <v>375</v>
      </c>
      <c r="D74" s="201">
        <v>4309.38</v>
      </c>
      <c r="E74" s="202">
        <v>42916</v>
      </c>
      <c r="F74" s="199">
        <v>10</v>
      </c>
      <c r="G74" s="203">
        <v>0.13300000000000001</v>
      </c>
      <c r="H74" s="201">
        <v>34800.800000000003</v>
      </c>
      <c r="I74" s="201">
        <v>69601.600000000006</v>
      </c>
      <c r="J74" s="204">
        <v>29994</v>
      </c>
      <c r="K74" s="204">
        <f>J74*G74</f>
        <v>3989.2020000000002</v>
      </c>
      <c r="L74" s="204"/>
      <c r="M74" s="204"/>
      <c r="N74" s="204"/>
      <c r="O74" s="205" t="s">
        <v>1438</v>
      </c>
      <c r="P74" s="206" t="s">
        <v>1437</v>
      </c>
    </row>
    <row r="75" spans="1:16" s="199" customFormat="1" x14ac:dyDescent="0.2">
      <c r="B75" s="200"/>
      <c r="C75" s="200"/>
      <c r="D75" s="201"/>
      <c r="E75" s="202"/>
      <c r="G75" s="203"/>
      <c r="H75" s="201">
        <f>H73+H74</f>
        <v>104007.05</v>
      </c>
      <c r="I75" s="201">
        <f t="shared" ref="I75:J75" si="2">I73+I74</f>
        <v>208014.1</v>
      </c>
      <c r="J75" s="201">
        <f t="shared" si="2"/>
        <v>88960</v>
      </c>
      <c r="K75" s="204"/>
      <c r="L75" s="204"/>
      <c r="M75" s="204"/>
      <c r="N75" s="204"/>
      <c r="O75" s="205"/>
      <c r="P75" s="206"/>
    </row>
    <row r="76" spans="1:16" x14ac:dyDescent="0.2">
      <c r="A76" t="s">
        <v>1432</v>
      </c>
      <c r="B76" s="54" t="s">
        <v>369</v>
      </c>
      <c r="C76" s="54" t="s">
        <v>466</v>
      </c>
      <c r="D76" s="56">
        <v>7825.24</v>
      </c>
      <c r="E76" s="81">
        <v>42878</v>
      </c>
      <c r="F76">
        <v>9</v>
      </c>
      <c r="G76" s="55">
        <v>0.33400000000000002</v>
      </c>
      <c r="H76" s="56">
        <v>37348</v>
      </c>
      <c r="I76" s="56">
        <v>38468.44</v>
      </c>
      <c r="J76" s="57">
        <v>30102</v>
      </c>
      <c r="K76" s="57">
        <f>J76*G76</f>
        <v>10054.068000000001</v>
      </c>
      <c r="O76" s="90" t="s">
        <v>1434</v>
      </c>
      <c r="P76" s="67" t="s">
        <v>1433</v>
      </c>
    </row>
    <row r="77" spans="1:16" x14ac:dyDescent="0.2">
      <c r="A77" t="s">
        <v>1460</v>
      </c>
      <c r="B77" s="54" t="s">
        <v>388</v>
      </c>
      <c r="C77" s="54" t="s">
        <v>461</v>
      </c>
      <c r="D77" s="56">
        <v>1275</v>
      </c>
      <c r="E77" s="81">
        <v>43006</v>
      </c>
      <c r="F77">
        <v>9</v>
      </c>
      <c r="G77" s="55">
        <v>0.3</v>
      </c>
      <c r="H77" s="56">
        <v>64933</v>
      </c>
      <c r="I77" s="56">
        <v>129866</v>
      </c>
      <c r="J77" s="57">
        <v>16558</v>
      </c>
      <c r="K77" s="57">
        <f>J77*G77</f>
        <v>4967.3999999999996</v>
      </c>
      <c r="O77" s="90" t="s">
        <v>1461</v>
      </c>
    </row>
    <row r="78" spans="1:16" x14ac:dyDescent="0.2">
      <c r="A78" t="s">
        <v>1414</v>
      </c>
      <c r="B78" s="54" t="s">
        <v>434</v>
      </c>
      <c r="C78" s="54" t="s">
        <v>481</v>
      </c>
      <c r="D78" s="56">
        <v>2092.3200000000002</v>
      </c>
      <c r="E78" s="81">
        <v>43042</v>
      </c>
      <c r="F78">
        <v>9</v>
      </c>
      <c r="G78" s="55">
        <v>1</v>
      </c>
      <c r="H78" s="56">
        <v>36642</v>
      </c>
      <c r="I78" s="56">
        <v>65955.600000000006</v>
      </c>
      <c r="J78" s="57">
        <v>13800</v>
      </c>
      <c r="K78" s="57">
        <f>J78*G78</f>
        <v>13800</v>
      </c>
      <c r="O78" s="90" t="s">
        <v>1732</v>
      </c>
      <c r="P78" s="67" t="s">
        <v>1465</v>
      </c>
    </row>
    <row r="79" spans="1:16" x14ac:dyDescent="0.2">
      <c r="A79" t="s">
        <v>397</v>
      </c>
      <c r="B79" s="54" t="s">
        <v>1181</v>
      </c>
      <c r="C79" s="54" t="s">
        <v>1180</v>
      </c>
      <c r="D79" s="56">
        <v>1721.3</v>
      </c>
      <c r="E79" s="81">
        <v>43029</v>
      </c>
      <c r="F79">
        <v>10</v>
      </c>
      <c r="G79" s="55">
        <v>1</v>
      </c>
      <c r="H79" s="56">
        <v>160001</v>
      </c>
      <c r="I79" s="56">
        <v>488002</v>
      </c>
      <c r="J79" s="57">
        <v>84000</v>
      </c>
      <c r="K79" s="57">
        <f>J79*G79</f>
        <v>84000</v>
      </c>
      <c r="O79" s="90"/>
    </row>
    <row r="80" spans="1:16" ht="28.5" x14ac:dyDescent="0.2">
      <c r="A80" s="199" t="s">
        <v>1417</v>
      </c>
      <c r="B80" s="200" t="s">
        <v>435</v>
      </c>
      <c r="C80" s="200" t="s">
        <v>521</v>
      </c>
      <c r="D80" s="201">
        <v>2884.62</v>
      </c>
      <c r="E80" s="202">
        <v>43042</v>
      </c>
      <c r="F80" s="199">
        <v>10</v>
      </c>
      <c r="G80" s="203">
        <v>1</v>
      </c>
      <c r="H80" s="201">
        <v>44101.2</v>
      </c>
      <c r="I80" s="201">
        <v>114660</v>
      </c>
      <c r="J80" s="204">
        <v>33075</v>
      </c>
      <c r="K80" s="204">
        <f>J80*G80</f>
        <v>33075</v>
      </c>
      <c r="L80" s="204"/>
      <c r="M80" s="204"/>
      <c r="N80" s="204"/>
      <c r="O80" s="205" t="s">
        <v>1419</v>
      </c>
      <c r="P80" s="206" t="s">
        <v>1418</v>
      </c>
    </row>
    <row r="81" spans="1:16" x14ac:dyDescent="0.2">
      <c r="A81" s="415" t="s">
        <v>377</v>
      </c>
      <c r="B81" s="416" t="s">
        <v>453</v>
      </c>
      <c r="C81" s="416" t="s">
        <v>545</v>
      </c>
      <c r="D81" s="417">
        <v>2468.1799999999998</v>
      </c>
      <c r="E81" s="418">
        <v>42916</v>
      </c>
      <c r="F81" s="415">
        <v>11</v>
      </c>
      <c r="G81" s="419">
        <v>0.51</v>
      </c>
      <c r="H81" s="417">
        <v>78953</v>
      </c>
      <c r="I81" s="417">
        <v>173696.6</v>
      </c>
      <c r="J81" s="420">
        <v>52871</v>
      </c>
      <c r="K81" s="420">
        <f>J81*G81</f>
        <v>26964.21</v>
      </c>
      <c r="L81" s="420"/>
      <c r="M81" s="420"/>
      <c r="N81" s="420"/>
      <c r="O81" s="421" t="s">
        <v>1370</v>
      </c>
      <c r="P81" s="415"/>
    </row>
    <row r="82" spans="1:16" x14ac:dyDescent="0.2">
      <c r="A82" s="199" t="s">
        <v>1390</v>
      </c>
      <c r="B82" s="200" t="s">
        <v>436</v>
      </c>
      <c r="C82" s="200" t="s">
        <v>482</v>
      </c>
      <c r="D82" s="201">
        <v>900</v>
      </c>
      <c r="E82" s="202">
        <v>43042</v>
      </c>
      <c r="F82" s="199">
        <v>11</v>
      </c>
      <c r="G82" s="203">
        <v>1</v>
      </c>
      <c r="H82" s="201">
        <v>188600</v>
      </c>
      <c r="I82" s="201">
        <v>471500</v>
      </c>
      <c r="J82" s="204">
        <v>42450</v>
      </c>
      <c r="K82" s="204">
        <f>J82*G82</f>
        <v>42450</v>
      </c>
      <c r="L82" s="204"/>
      <c r="M82" s="204"/>
      <c r="N82" s="204"/>
      <c r="O82" s="205" t="s">
        <v>1391</v>
      </c>
      <c r="P82" s="199"/>
    </row>
    <row r="83" spans="1:16" ht="28.5" x14ac:dyDescent="0.2">
      <c r="A83" t="s">
        <v>1435</v>
      </c>
      <c r="B83" s="54" t="s">
        <v>415</v>
      </c>
      <c r="C83" s="54" t="s">
        <v>477</v>
      </c>
      <c r="D83" s="56">
        <v>7450</v>
      </c>
      <c r="E83" s="81">
        <v>43029</v>
      </c>
      <c r="F83">
        <v>11</v>
      </c>
      <c r="G83" s="55">
        <v>1</v>
      </c>
      <c r="H83" s="56">
        <v>20174.7</v>
      </c>
      <c r="I83" s="56">
        <v>40349.4</v>
      </c>
      <c r="J83" s="57">
        <v>30000</v>
      </c>
      <c r="K83" s="57">
        <f>J83*G83</f>
        <v>30000</v>
      </c>
      <c r="O83" s="90" t="s">
        <v>1436</v>
      </c>
    </row>
    <row r="84" spans="1:16" x14ac:dyDescent="0.2">
      <c r="A84" t="s">
        <v>404</v>
      </c>
      <c r="B84" s="54" t="s">
        <v>405</v>
      </c>
      <c r="C84" s="54" t="s">
        <v>1182</v>
      </c>
      <c r="D84" s="56">
        <v>3900.05</v>
      </c>
      <c r="E84" s="81">
        <v>43029</v>
      </c>
      <c r="F84">
        <v>12</v>
      </c>
      <c r="G84" s="55">
        <v>0.49</v>
      </c>
      <c r="H84" s="56">
        <v>82602</v>
      </c>
      <c r="I84" s="56">
        <v>206505</v>
      </c>
      <c r="J84" s="57">
        <v>80538</v>
      </c>
      <c r="K84" s="57">
        <f>J84*G84</f>
        <v>39463.620000000003</v>
      </c>
      <c r="O84" s="90" t="s">
        <v>1767</v>
      </c>
      <c r="P84" s="67" t="s">
        <v>1183</v>
      </c>
    </row>
    <row r="85" spans="1:16" ht="28.5" x14ac:dyDescent="0.2">
      <c r="A85" t="s">
        <v>416</v>
      </c>
      <c r="B85" s="54" t="s">
        <v>437</v>
      </c>
      <c r="C85" s="54" t="s">
        <v>522</v>
      </c>
      <c r="D85" s="56">
        <v>6996</v>
      </c>
      <c r="E85" s="81">
        <v>43061</v>
      </c>
      <c r="F85">
        <v>12</v>
      </c>
      <c r="G85" s="55">
        <v>0.5</v>
      </c>
      <c r="H85" s="56">
        <v>52973.93</v>
      </c>
      <c r="I85" s="56">
        <v>158921.79</v>
      </c>
      <c r="J85" s="57">
        <v>54000</v>
      </c>
      <c r="K85" s="57">
        <f>J85*G85</f>
        <v>27000</v>
      </c>
      <c r="O85" s="90" t="s">
        <v>1936</v>
      </c>
      <c r="P85" s="67" t="s">
        <v>1369</v>
      </c>
    </row>
    <row r="86" spans="1:16" x14ac:dyDescent="0.2">
      <c r="A86" t="s">
        <v>406</v>
      </c>
      <c r="B86" s="54" t="s">
        <v>515</v>
      </c>
      <c r="C86" s="54" t="s">
        <v>478</v>
      </c>
      <c r="D86" s="56">
        <v>6095</v>
      </c>
      <c r="E86" s="81">
        <v>43029</v>
      </c>
      <c r="F86">
        <v>13</v>
      </c>
      <c r="G86" s="55">
        <v>0.33300000000000002</v>
      </c>
      <c r="H86" s="56">
        <v>53908</v>
      </c>
      <c r="I86" s="56">
        <v>97034</v>
      </c>
      <c r="J86" s="57">
        <v>59242.8</v>
      </c>
      <c r="K86" s="57">
        <f>J86*G86</f>
        <v>19727.852400000003</v>
      </c>
      <c r="O86" s="90" t="s">
        <v>1195</v>
      </c>
      <c r="P86" s="67" t="s">
        <v>1194</v>
      </c>
    </row>
    <row r="87" spans="1:16" s="415" customFormat="1" x14ac:dyDescent="0.2">
      <c r="A87" s="415" t="s">
        <v>1443</v>
      </c>
      <c r="B87" s="416" t="s">
        <v>438</v>
      </c>
      <c r="C87" s="416" t="s">
        <v>483</v>
      </c>
      <c r="D87" s="417">
        <v>2372.98</v>
      </c>
      <c r="E87" s="418">
        <v>43094</v>
      </c>
      <c r="F87" s="415">
        <v>13</v>
      </c>
      <c r="G87" s="419">
        <v>1</v>
      </c>
      <c r="H87" s="417">
        <v>51116</v>
      </c>
      <c r="I87" s="417">
        <v>102232</v>
      </c>
      <c r="J87" s="420">
        <v>24259.48</v>
      </c>
      <c r="K87" s="420">
        <f>J87*G87</f>
        <v>24259.48</v>
      </c>
      <c r="L87" s="420"/>
      <c r="M87" s="420"/>
      <c r="N87" s="420"/>
      <c r="O87" s="421" t="s">
        <v>1446</v>
      </c>
      <c r="P87" s="422" t="s">
        <v>1445</v>
      </c>
    </row>
    <row r="88" spans="1:16" ht="28.5" x14ac:dyDescent="0.2">
      <c r="A88" t="s">
        <v>396</v>
      </c>
      <c r="B88" s="54" t="s">
        <v>407</v>
      </c>
      <c r="C88" s="54" t="s">
        <v>1145</v>
      </c>
      <c r="D88" s="56">
        <v>5003.1000000000004</v>
      </c>
      <c r="E88" s="81">
        <v>43033</v>
      </c>
      <c r="F88">
        <v>14</v>
      </c>
      <c r="G88" s="55">
        <v>1</v>
      </c>
      <c r="H88" s="56">
        <v>48729.77</v>
      </c>
      <c r="I88" s="56">
        <v>243648.85</v>
      </c>
      <c r="J88" s="57">
        <v>121900</v>
      </c>
      <c r="K88" s="57">
        <f>J88*G88</f>
        <v>121900</v>
      </c>
      <c r="O88" s="90" t="s">
        <v>1766</v>
      </c>
      <c r="P88" s="67" t="s">
        <v>1146</v>
      </c>
    </row>
    <row r="89" spans="1:16" s="199" customFormat="1" x14ac:dyDescent="0.2">
      <c r="A89" t="s">
        <v>417</v>
      </c>
      <c r="B89" s="54" t="s">
        <v>418</v>
      </c>
      <c r="C89" s="54" t="s">
        <v>348</v>
      </c>
      <c r="D89" s="56">
        <v>1861.58</v>
      </c>
      <c r="E89" s="81">
        <v>43094</v>
      </c>
      <c r="F89">
        <v>14</v>
      </c>
      <c r="G89" s="55">
        <v>1</v>
      </c>
      <c r="H89" s="56">
        <v>37567</v>
      </c>
      <c r="I89" s="56">
        <v>60107.199999999997</v>
      </c>
      <c r="J89" s="57">
        <v>11189.45</v>
      </c>
      <c r="K89" s="57">
        <f>J89*G89</f>
        <v>11189.45</v>
      </c>
      <c r="L89" s="57"/>
      <c r="M89" s="57"/>
      <c r="N89" s="57"/>
      <c r="O89" s="90" t="s">
        <v>1444</v>
      </c>
      <c r="P89" s="67" t="s">
        <v>1445</v>
      </c>
    </row>
    <row r="90" spans="1:16" x14ac:dyDescent="0.2">
      <c r="A90" t="s">
        <v>1459</v>
      </c>
      <c r="B90" s="54" t="s">
        <v>428</v>
      </c>
      <c r="C90" s="54" t="s">
        <v>516</v>
      </c>
      <c r="D90" s="56">
        <v>3550</v>
      </c>
      <c r="E90" s="81">
        <v>43034</v>
      </c>
      <c r="F90">
        <v>15</v>
      </c>
      <c r="G90" s="55">
        <v>1</v>
      </c>
      <c r="H90" s="56">
        <v>29652</v>
      </c>
      <c r="I90" s="56">
        <v>53373</v>
      </c>
      <c r="J90" s="57">
        <v>18947.400000000001</v>
      </c>
      <c r="K90" s="57">
        <f>J90*G90</f>
        <v>18947.400000000001</v>
      </c>
      <c r="O90" s="90" t="s">
        <v>1380</v>
      </c>
    </row>
    <row r="91" spans="1:16" x14ac:dyDescent="0.2">
      <c r="A91" t="s">
        <v>417</v>
      </c>
      <c r="B91" s="54" t="s">
        <v>418</v>
      </c>
      <c r="C91" s="54" t="s">
        <v>484</v>
      </c>
      <c r="D91" s="56">
        <v>2608.1</v>
      </c>
      <c r="E91" s="81">
        <v>43094</v>
      </c>
      <c r="F91">
        <v>15</v>
      </c>
      <c r="G91" s="55">
        <v>1</v>
      </c>
      <c r="H91" s="56">
        <v>22041</v>
      </c>
      <c r="I91" s="56">
        <v>33061.5</v>
      </c>
      <c r="J91" s="57">
        <v>8622.77</v>
      </c>
      <c r="K91" s="57">
        <f>J91*G91</f>
        <v>8622.77</v>
      </c>
      <c r="O91" s="90" t="s">
        <v>1444</v>
      </c>
      <c r="P91" s="67" t="s">
        <v>1445</v>
      </c>
    </row>
    <row r="92" spans="1:16" x14ac:dyDescent="0.2">
      <c r="A92" t="s">
        <v>350</v>
      </c>
      <c r="B92" s="54" t="s">
        <v>419</v>
      </c>
      <c r="C92" s="54" t="s">
        <v>485</v>
      </c>
      <c r="D92" s="56">
        <v>6562</v>
      </c>
      <c r="E92" s="81">
        <v>43094</v>
      </c>
      <c r="F92">
        <v>16</v>
      </c>
      <c r="G92" s="55">
        <v>0.33300000000000002</v>
      </c>
      <c r="H92" s="56">
        <v>75323</v>
      </c>
      <c r="I92" s="56">
        <v>137088</v>
      </c>
      <c r="J92" s="57">
        <v>107711</v>
      </c>
      <c r="K92" s="57">
        <f>J92*G92</f>
        <v>35867.762999999999</v>
      </c>
      <c r="O92" s="90" t="s">
        <v>1155</v>
      </c>
      <c r="P92" s="67" t="s">
        <v>1156</v>
      </c>
    </row>
    <row r="93" spans="1:16" x14ac:dyDescent="0.2">
      <c r="A93" t="s">
        <v>398</v>
      </c>
      <c r="B93" s="54" t="s">
        <v>409</v>
      </c>
      <c r="C93" s="54" t="s">
        <v>479</v>
      </c>
      <c r="D93" s="56">
        <v>4791.5600000000004</v>
      </c>
      <c r="E93" s="81">
        <v>43036</v>
      </c>
      <c r="F93">
        <v>16</v>
      </c>
      <c r="G93" s="55">
        <v>0.37</v>
      </c>
      <c r="H93" s="56">
        <v>39984</v>
      </c>
      <c r="I93" s="56">
        <v>55977.599999999999</v>
      </c>
      <c r="J93" s="57">
        <v>26822</v>
      </c>
      <c r="K93" s="57">
        <f>J93*G93</f>
        <v>9924.14</v>
      </c>
      <c r="O93" s="90" t="s">
        <v>1440</v>
      </c>
      <c r="P93" s="67" t="s">
        <v>1439</v>
      </c>
    </row>
    <row r="94" spans="1:16" x14ac:dyDescent="0.2">
      <c r="A94" t="s">
        <v>392</v>
      </c>
      <c r="B94" s="54" t="s">
        <v>1173</v>
      </c>
      <c r="C94" s="54" t="s">
        <v>1174</v>
      </c>
      <c r="D94" s="56">
        <v>12045</v>
      </c>
      <c r="E94" s="81">
        <v>43039</v>
      </c>
      <c r="F94">
        <v>17</v>
      </c>
      <c r="G94" s="55">
        <v>0.51</v>
      </c>
      <c r="H94" s="56">
        <v>52933.599999999999</v>
      </c>
      <c r="I94" s="56">
        <v>79400.399999999994</v>
      </c>
      <c r="J94" s="57">
        <v>95639</v>
      </c>
      <c r="K94" s="57">
        <f>J94*G94</f>
        <v>48775.89</v>
      </c>
      <c r="O94" s="90" t="s">
        <v>1176</v>
      </c>
      <c r="P94" s="67" t="s">
        <v>1175</v>
      </c>
    </row>
    <row r="95" spans="1:16" x14ac:dyDescent="0.2">
      <c r="A95" t="s">
        <v>1394</v>
      </c>
      <c r="B95" s="54" t="s">
        <v>439</v>
      </c>
      <c r="C95" s="54" t="s">
        <v>486</v>
      </c>
      <c r="D95" s="56">
        <v>3456.49</v>
      </c>
      <c r="E95" s="81">
        <v>43095</v>
      </c>
      <c r="F95">
        <v>17</v>
      </c>
      <c r="G95" s="55">
        <v>0.4</v>
      </c>
      <c r="H95" s="56">
        <v>61044.7</v>
      </c>
      <c r="I95" s="56">
        <v>122089</v>
      </c>
      <c r="J95" s="57">
        <v>42200</v>
      </c>
      <c r="K95" s="57">
        <f>J95*G95</f>
        <v>16880</v>
      </c>
      <c r="O95" s="90" t="s">
        <v>1396</v>
      </c>
      <c r="P95" s="67" t="s">
        <v>1395</v>
      </c>
    </row>
    <row r="96" spans="1:16" x14ac:dyDescent="0.2">
      <c r="A96" t="s">
        <v>408</v>
      </c>
      <c r="B96" s="54" t="s">
        <v>525</v>
      </c>
      <c r="C96" s="54" t="s">
        <v>523</v>
      </c>
      <c r="D96" s="56">
        <v>7600</v>
      </c>
      <c r="E96" s="81">
        <v>43096</v>
      </c>
      <c r="F96">
        <v>18</v>
      </c>
      <c r="G96" s="55">
        <v>1</v>
      </c>
      <c r="H96" s="56">
        <v>50060.76</v>
      </c>
      <c r="I96" s="56">
        <v>85103.29</v>
      </c>
      <c r="J96" s="57">
        <v>64679</v>
      </c>
      <c r="K96" s="57">
        <f>J96*G96</f>
        <v>64679</v>
      </c>
      <c r="O96" s="90" t="s">
        <v>1191</v>
      </c>
      <c r="P96" s="67" t="s">
        <v>1192</v>
      </c>
    </row>
    <row r="97" spans="1:16" x14ac:dyDescent="0.2">
      <c r="A97" t="s">
        <v>350</v>
      </c>
      <c r="B97" s="54" t="s">
        <v>429</v>
      </c>
      <c r="C97" s="54" t="s">
        <v>517</v>
      </c>
      <c r="D97" s="56">
        <v>3306</v>
      </c>
      <c r="E97" s="81">
        <v>43039</v>
      </c>
      <c r="F97">
        <v>18</v>
      </c>
      <c r="G97" s="55">
        <v>0.2</v>
      </c>
      <c r="H97" s="56">
        <v>115500.02</v>
      </c>
      <c r="I97" s="56">
        <v>184800.03200000001</v>
      </c>
      <c r="J97" s="57">
        <v>61099.51</v>
      </c>
      <c r="K97" s="57">
        <f>J97*G97</f>
        <v>12219.902000000002</v>
      </c>
      <c r="O97" s="90" t="s">
        <v>1193</v>
      </c>
    </row>
    <row r="98" spans="1:16" s="199" customFormat="1" ht="28.5" x14ac:dyDescent="0.2">
      <c r="A98" t="s">
        <v>408</v>
      </c>
      <c r="B98" s="54" t="s">
        <v>1139</v>
      </c>
      <c r="C98" s="54" t="s">
        <v>524</v>
      </c>
      <c r="D98" s="56">
        <v>6600</v>
      </c>
      <c r="E98" s="81">
        <v>43096</v>
      </c>
      <c r="F98">
        <v>19</v>
      </c>
      <c r="G98" s="55">
        <v>1</v>
      </c>
      <c r="H98" s="56">
        <v>99540.79</v>
      </c>
      <c r="I98" s="56">
        <v>199081.58</v>
      </c>
      <c r="J98" s="57">
        <v>131394</v>
      </c>
      <c r="K98" s="57">
        <f>J98*G98</f>
        <v>131394</v>
      </c>
      <c r="L98" s="57"/>
      <c r="M98" s="57"/>
      <c r="N98" s="57"/>
      <c r="O98" s="90" t="s">
        <v>1763</v>
      </c>
      <c r="P98" s="67" t="s">
        <v>1140</v>
      </c>
    </row>
    <row r="99" spans="1:16" s="154" customFormat="1" ht="28.5" x14ac:dyDescent="0.2">
      <c r="A99" s="154" t="s">
        <v>352</v>
      </c>
      <c r="B99" s="54" t="s">
        <v>440</v>
      </c>
      <c r="C99" s="54" t="s">
        <v>487</v>
      </c>
      <c r="D99" s="155">
        <v>4742.42</v>
      </c>
      <c r="E99" s="156">
        <v>43096</v>
      </c>
      <c r="F99" s="154">
        <v>20</v>
      </c>
      <c r="G99" s="157">
        <v>0.35</v>
      </c>
      <c r="H99" s="155">
        <v>57430</v>
      </c>
      <c r="I99" s="155">
        <v>160804</v>
      </c>
      <c r="J99" s="158">
        <v>76260</v>
      </c>
      <c r="K99" s="158">
        <f>J99*G99</f>
        <v>26691</v>
      </c>
      <c r="L99" s="159">
        <f>I99*10000*11000/100000000</f>
        <v>176884.4</v>
      </c>
      <c r="M99" s="143">
        <f>(L99-J99-(I99*4500/10000)-J99*0.08)</f>
        <v>22161.799999999992</v>
      </c>
      <c r="N99" s="144">
        <f>M99/L99</f>
        <v>0.12528973725212619</v>
      </c>
      <c r="O99" s="54" t="s">
        <v>1083</v>
      </c>
      <c r="P99" s="68" t="s">
        <v>1084</v>
      </c>
    </row>
    <row r="100" spans="1:16" x14ac:dyDescent="0.2">
      <c r="A100" t="s">
        <v>420</v>
      </c>
      <c r="B100" s="54" t="s">
        <v>1422</v>
      </c>
      <c r="C100" s="54" t="s">
        <v>488</v>
      </c>
      <c r="D100" s="56">
        <v>1180</v>
      </c>
      <c r="E100" s="81">
        <v>43096</v>
      </c>
      <c r="F100">
        <v>21</v>
      </c>
      <c r="G100" s="55">
        <v>0.49</v>
      </c>
      <c r="H100" s="56">
        <v>79229.210000000006</v>
      </c>
      <c r="I100" s="56">
        <v>277620</v>
      </c>
      <c r="J100" s="57">
        <v>32746</v>
      </c>
      <c r="K100" s="57">
        <f>J100*G100</f>
        <v>16045.539999999999</v>
      </c>
      <c r="O100" s="90" t="s">
        <v>1379</v>
      </c>
    </row>
    <row r="101" spans="1:16" x14ac:dyDescent="0.2">
      <c r="A101" t="s">
        <v>1367</v>
      </c>
      <c r="B101" s="54" t="s">
        <v>1199</v>
      </c>
      <c r="C101" s="54" t="s">
        <v>489</v>
      </c>
      <c r="D101" s="56">
        <v>4309</v>
      </c>
      <c r="E101" s="81">
        <v>43096</v>
      </c>
      <c r="F101">
        <v>22</v>
      </c>
      <c r="G101" s="55">
        <v>0.49</v>
      </c>
      <c r="H101" s="56">
        <v>104827.48</v>
      </c>
      <c r="I101" s="56">
        <v>136279</v>
      </c>
      <c r="J101" s="57">
        <v>55037.5</v>
      </c>
      <c r="K101" s="57">
        <f>J101*G101</f>
        <v>26968.375</v>
      </c>
      <c r="O101" s="90" t="s">
        <v>1368</v>
      </c>
      <c r="P101" s="67" t="s">
        <v>1366</v>
      </c>
    </row>
    <row r="102" spans="1:16" x14ac:dyDescent="0.2">
      <c r="A102" t="s">
        <v>420</v>
      </c>
      <c r="B102" s="54" t="s">
        <v>421</v>
      </c>
      <c r="C102" s="54" t="s">
        <v>490</v>
      </c>
      <c r="D102" s="56">
        <v>2118</v>
      </c>
      <c r="E102" s="81">
        <v>43096</v>
      </c>
      <c r="F102">
        <v>23</v>
      </c>
      <c r="G102" s="55">
        <v>0.49</v>
      </c>
      <c r="H102" s="56">
        <v>55530.69</v>
      </c>
      <c r="I102" s="56">
        <v>138820</v>
      </c>
      <c r="J102" s="57">
        <v>29401.37</v>
      </c>
      <c r="K102" s="57">
        <f>J102*G102</f>
        <v>14406.6713</v>
      </c>
      <c r="O102" s="90" t="s">
        <v>1379</v>
      </c>
    </row>
    <row r="103" spans="1:16" x14ac:dyDescent="0.2">
      <c r="A103" t="s">
        <v>420</v>
      </c>
      <c r="B103" s="54" t="s">
        <v>422</v>
      </c>
      <c r="C103" s="54" t="s">
        <v>491</v>
      </c>
      <c r="D103" s="56">
        <v>2100</v>
      </c>
      <c r="E103" s="83">
        <v>43096</v>
      </c>
      <c r="F103">
        <v>24</v>
      </c>
      <c r="G103" s="55">
        <v>0.49</v>
      </c>
      <c r="H103" s="56">
        <v>87972.37</v>
      </c>
      <c r="I103" s="56">
        <v>219938</v>
      </c>
      <c r="J103" s="57">
        <v>46186</v>
      </c>
      <c r="K103" s="57">
        <f>J103*G103</f>
        <v>22631.14</v>
      </c>
      <c r="O103" s="90" t="s">
        <v>1379</v>
      </c>
    </row>
  </sheetData>
  <autoFilter ref="A1:P103" xr:uid="{F974DEC9-5356-4197-AB33-9FD882379752}">
    <sortState xmlns:xlrd2="http://schemas.microsoft.com/office/spreadsheetml/2017/richdata2" ref="A2:P103">
      <sortCondition ref="F1:F103"/>
    </sortState>
  </autoFilter>
  <phoneticPr fontId="5" type="noConversion"/>
  <hyperlinks>
    <hyperlink ref="P26" r:id="rId1" xr:uid="{39026BB1-29D0-42EC-ADC9-A7A20F7BBDD3}"/>
    <hyperlink ref="P61" r:id="rId2" xr:uid="{6656AF69-8EC6-468C-8AFF-F9D3620C78C8}"/>
    <hyperlink ref="P99" r:id="rId3" xr:uid="{A224C45F-1750-4CC4-9E01-AC40086B9EC1}"/>
    <hyperlink ref="P2" r:id="rId4" xr:uid="{B16D058C-A8A2-49B6-BBF0-DDFAB6EA926F}"/>
    <hyperlink ref="P24" r:id="rId5" xr:uid="{1102E4B2-6F08-469A-B163-ABF590477FB8}"/>
    <hyperlink ref="P35" r:id="rId6" xr:uid="{7894CABE-2C03-4DAC-ABEF-00B8027973F5}"/>
    <hyperlink ref="P12" r:id="rId7" xr:uid="{CD7626B9-756B-4C30-8D2F-0BDBF82875B2}"/>
    <hyperlink ref="P53" r:id="rId8" xr:uid="{1EA45341-196A-4821-A6A9-72762C22C21A}"/>
    <hyperlink ref="P15" r:id="rId9" xr:uid="{916F88F5-4C51-4DC7-91FC-E21557138A5C}"/>
    <hyperlink ref="P36" r:id="rId10" xr:uid="{A318B786-2870-40BB-8F0A-C729334552B0}"/>
    <hyperlink ref="P98" r:id="rId11" xr:uid="{CC1BDEE1-C649-4DD7-9467-ECD6EA9D8F4C}"/>
    <hyperlink ref="P66" r:id="rId12" xr:uid="{2EC7D0B5-4BEC-423F-ACE2-31F0EDD6ED0A}"/>
    <hyperlink ref="P88" r:id="rId13" xr:uid="{A412CEE9-DEFF-4B28-9CF9-42E028C76924}"/>
    <hyperlink ref="P16" r:id="rId14" xr:uid="{626BB92D-5D68-4C2A-A33B-7A8713BA8694}"/>
    <hyperlink ref="P72" r:id="rId15" xr:uid="{F4E128DB-0CFD-49F9-B73B-BCC181529310}"/>
    <hyperlink ref="P92" r:id="rId16" xr:uid="{B267D7F5-1F80-4BEE-A8F8-4A5B6E8708DE}"/>
    <hyperlink ref="P62" r:id="rId17" xr:uid="{7D5CF6D4-E731-47FE-A82C-9653596838D1}"/>
    <hyperlink ref="P94" r:id="rId18" xr:uid="{4E0C7BFA-3086-4345-BE2F-6C26742F8F7D}"/>
    <hyperlink ref="P18" r:id="rId19" xr:uid="{8E3C726F-B33A-4221-955C-A1BA89481991}"/>
    <hyperlink ref="P84" r:id="rId20" xr:uid="{62254957-E475-46F7-A3F4-B8611ADA521F}"/>
    <hyperlink ref="P5" r:id="rId21" xr:uid="{561187EA-5494-4D26-BC27-4059A7C4F19F}"/>
    <hyperlink ref="P6" r:id="rId22" xr:uid="{119BF3C0-EF6A-4D51-982D-F8FC5C8F64CC}"/>
    <hyperlink ref="P96" r:id="rId23" xr:uid="{1814B250-3BC9-421F-9771-E805E10ACEFF}"/>
    <hyperlink ref="P86" r:id="rId24" xr:uid="{E7744919-7BC3-4700-8F19-16CDD6D9618E}"/>
    <hyperlink ref="P73" r:id="rId25" xr:uid="{D2B95B2F-C443-440B-AB15-CA97C0BD0EBE}"/>
    <hyperlink ref="P101" r:id="rId26" xr:uid="{EB9470C5-F8D2-468C-9E4F-5E485F42ACCD}"/>
    <hyperlink ref="P85" r:id="rId27" xr:uid="{61AB27D0-4BD7-451D-8FC3-5AC296D3ED74}"/>
    <hyperlink ref="P28" r:id="rId28" xr:uid="{428D6B30-10B9-48A1-BDFA-B0DBDAD795EF}"/>
    <hyperlink ref="P57" r:id="rId29" xr:uid="{E8DABC10-957D-4F77-9B14-6965F67477F9}"/>
    <hyperlink ref="P95" r:id="rId30" xr:uid="{4C680A1B-C8B3-40DB-BF85-3436B8ED7BD7}"/>
    <hyperlink ref="P49" r:id="rId31" xr:uid="{3C10A155-3152-4395-96A7-BCD1A2F5C8E4}"/>
    <hyperlink ref="P8" r:id="rId32" xr:uid="{649B4FB6-DBAD-4C03-B074-36FEC76942B4}"/>
    <hyperlink ref="P43" r:id="rId33" xr:uid="{6C066242-1071-485E-9A74-2F7959DAB82D}"/>
    <hyperlink ref="P29" r:id="rId34" xr:uid="{93BD57F8-5DB2-4C98-B923-D485C241FCCF}"/>
    <hyperlink ref="P64" r:id="rId35" xr:uid="{93F4F683-4DE0-4BDC-825B-50C12351A425}"/>
    <hyperlink ref="P80" r:id="rId36" xr:uid="{DB974F66-9FF3-4470-B528-5C11DF03C200}"/>
    <hyperlink ref="P10" r:id="rId37" xr:uid="{597EA9A1-DCA8-4BD2-878F-0C1AE37078EC}"/>
    <hyperlink ref="P30" r:id="rId38" xr:uid="{E15FCCDD-897F-43DF-833A-A59058ED27D9}"/>
    <hyperlink ref="P76" r:id="rId39" xr:uid="{C7C30D54-DAD8-4E78-8C68-249E9CAAB622}"/>
    <hyperlink ref="P74" r:id="rId40" xr:uid="{6E662EEC-453B-4525-B35E-770DE7A1E844}"/>
    <hyperlink ref="P93" r:id="rId41" xr:uid="{2B284BEB-EE7F-42DA-AD1C-AA6C86CFA0A6}"/>
    <hyperlink ref="P87" r:id="rId42" xr:uid="{B9978865-7BB6-4BF8-A63C-C624E5B48B8B}"/>
    <hyperlink ref="P89" r:id="rId43" xr:uid="{7D72FA5D-AAE7-4193-98AD-4224263AD605}"/>
    <hyperlink ref="P91" r:id="rId44" xr:uid="{17E78390-6D4F-44AC-B593-9A51BC689435}"/>
    <hyperlink ref="P65" r:id="rId45" xr:uid="{97997823-515B-4737-9DE8-4280AF3DD8F7}"/>
    <hyperlink ref="P78" r:id="rId46" xr:uid="{6F59386F-879E-4D79-A7C9-AD9DB642BDB9}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C37E-9735-42B8-9B51-F438C6E00AB0}">
  <dimension ref="A1:P117"/>
  <sheetViews>
    <sheetView tabSelected="1" zoomScaleNormal="100" workbookViewId="0">
      <pane ySplit="1" topLeftCell="A16" activePane="bottomLeft" state="frozen"/>
      <selection pane="bottomLeft" activeCell="C106" sqref="C106"/>
    </sheetView>
  </sheetViews>
  <sheetFormatPr defaultRowHeight="14.25" x14ac:dyDescent="0.2"/>
  <cols>
    <col min="1" max="1" width="7.375" style="25" customWidth="1"/>
    <col min="2" max="2" width="12.125" style="25" customWidth="1"/>
    <col min="3" max="3" width="33.75" style="25" customWidth="1"/>
    <col min="4" max="4" width="11.5" style="53" customWidth="1"/>
    <col min="5" max="5" width="11.5" style="84" bestFit="1" customWidth="1"/>
    <col min="6" max="6" width="5.25" style="25" customWidth="1"/>
    <col min="7" max="7" width="9.125" style="51" bestFit="1" customWidth="1"/>
    <col min="8" max="8" width="9.5" style="52" customWidth="1"/>
    <col min="9" max="9" width="10.5" style="52" customWidth="1"/>
    <col min="10" max="10" width="6.875" style="25" customWidth="1"/>
    <col min="11" max="14" width="9.25" style="53" hidden="1" customWidth="1"/>
    <col min="15" max="15" width="42.25" style="26" customWidth="1"/>
    <col min="16" max="16" width="29.875" style="25" customWidth="1"/>
    <col min="17" max="16384" width="9" style="25"/>
  </cols>
  <sheetData>
    <row r="1" spans="1:16" s="26" customFormat="1" ht="28.5" x14ac:dyDescent="0.2">
      <c r="A1" s="14" t="s">
        <v>155</v>
      </c>
      <c r="B1" s="31" t="s">
        <v>157</v>
      </c>
      <c r="C1" s="31" t="s">
        <v>156</v>
      </c>
      <c r="D1" s="33" t="s">
        <v>262</v>
      </c>
      <c r="E1" s="207" t="s">
        <v>17</v>
      </c>
      <c r="F1" s="31" t="s">
        <v>154</v>
      </c>
      <c r="G1" s="32" t="s">
        <v>257</v>
      </c>
      <c r="H1" s="208" t="s">
        <v>258</v>
      </c>
      <c r="I1" s="208" t="s">
        <v>259</v>
      </c>
      <c r="J1" s="31" t="s">
        <v>260</v>
      </c>
      <c r="K1" s="33" t="s">
        <v>261</v>
      </c>
      <c r="L1" s="46" t="s">
        <v>839</v>
      </c>
      <c r="M1" s="46" t="s">
        <v>838</v>
      </c>
      <c r="N1" s="105" t="s">
        <v>840</v>
      </c>
      <c r="O1" s="319" t="s">
        <v>1078</v>
      </c>
      <c r="P1" s="368" t="s">
        <v>1077</v>
      </c>
    </row>
    <row r="2" spans="1:16" x14ac:dyDescent="0.2">
      <c r="A2" s="209" t="s">
        <v>1486</v>
      </c>
      <c r="B2" s="210" t="s">
        <v>1478</v>
      </c>
      <c r="C2" s="36" t="s">
        <v>1477</v>
      </c>
      <c r="D2" s="39">
        <v>11074.210742107422</v>
      </c>
      <c r="E2" s="218">
        <v>43441</v>
      </c>
      <c r="F2" s="36">
        <v>7</v>
      </c>
      <c r="G2" s="38">
        <v>0.3</v>
      </c>
      <c r="H2" s="211">
        <f>9.76*10000</f>
        <v>97600</v>
      </c>
      <c r="I2" s="211">
        <v>243900</v>
      </c>
      <c r="J2" s="36">
        <v>27.01</v>
      </c>
      <c r="K2" s="39">
        <v>8.1029999999999998</v>
      </c>
      <c r="L2" s="39"/>
      <c r="M2" s="39"/>
      <c r="N2" s="39"/>
      <c r="O2" s="267" t="s">
        <v>1888</v>
      </c>
      <c r="P2" s="369" t="s">
        <v>1487</v>
      </c>
    </row>
    <row r="3" spans="1:16" x14ac:dyDescent="0.2">
      <c r="A3" s="212" t="s">
        <v>186</v>
      </c>
      <c r="B3" s="36" t="s">
        <v>267</v>
      </c>
      <c r="C3" s="36" t="s">
        <v>266</v>
      </c>
      <c r="D3" s="39">
        <v>13644.844362571443</v>
      </c>
      <c r="E3" s="218">
        <v>43104</v>
      </c>
      <c r="F3" s="36">
        <v>4</v>
      </c>
      <c r="G3" s="38">
        <v>0.3</v>
      </c>
      <c r="H3" s="211">
        <v>80651</v>
      </c>
      <c r="I3" s="211">
        <v>169368</v>
      </c>
      <c r="J3" s="36">
        <v>23.11</v>
      </c>
      <c r="K3" s="39">
        <v>6.9329999999999998</v>
      </c>
      <c r="L3" s="39"/>
      <c r="M3" s="39"/>
      <c r="N3" s="39"/>
      <c r="O3" s="267" t="s">
        <v>1488</v>
      </c>
      <c r="P3" s="370"/>
    </row>
    <row r="4" spans="1:16" x14ac:dyDescent="0.2">
      <c r="A4" s="212" t="s">
        <v>178</v>
      </c>
      <c r="B4" s="36" t="s">
        <v>269</v>
      </c>
      <c r="C4" s="36" t="s">
        <v>1489</v>
      </c>
      <c r="D4" s="39">
        <v>8033.0578512396687</v>
      </c>
      <c r="E4" s="218">
        <v>43107</v>
      </c>
      <c r="F4" s="36">
        <v>7</v>
      </c>
      <c r="G4" s="38">
        <v>0.4</v>
      </c>
      <c r="H4" s="211">
        <v>133977</v>
      </c>
      <c r="I4" s="211">
        <v>242000</v>
      </c>
      <c r="J4" s="36">
        <v>19.440000000000001</v>
      </c>
      <c r="K4" s="39">
        <v>7.7760000000000007</v>
      </c>
      <c r="L4" s="39"/>
      <c r="M4" s="39"/>
      <c r="N4" s="39"/>
      <c r="O4" s="267" t="s">
        <v>1490</v>
      </c>
      <c r="P4" s="370"/>
    </row>
    <row r="5" spans="1:16" x14ac:dyDescent="0.2">
      <c r="A5" s="212" t="s">
        <v>178</v>
      </c>
      <c r="B5" s="36" t="s">
        <v>269</v>
      </c>
      <c r="C5" s="36" t="s">
        <v>268</v>
      </c>
      <c r="D5" s="39">
        <v>7962.34309623431</v>
      </c>
      <c r="E5" s="218">
        <v>43106</v>
      </c>
      <c r="F5" s="36">
        <v>6</v>
      </c>
      <c r="G5" s="38">
        <v>0.4</v>
      </c>
      <c r="H5" s="211">
        <v>132981</v>
      </c>
      <c r="I5" s="211">
        <v>239000</v>
      </c>
      <c r="J5" s="36">
        <v>19.03</v>
      </c>
      <c r="K5" s="39">
        <v>7.612000000000001</v>
      </c>
      <c r="L5" s="39"/>
      <c r="M5" s="39"/>
      <c r="N5" s="39"/>
      <c r="O5" s="267" t="s">
        <v>1490</v>
      </c>
      <c r="P5" s="370"/>
    </row>
    <row r="6" spans="1:16" x14ac:dyDescent="0.2">
      <c r="A6" s="212" t="s">
        <v>317</v>
      </c>
      <c r="B6" s="36" t="s">
        <v>303</v>
      </c>
      <c r="C6" s="36" t="s">
        <v>1491</v>
      </c>
      <c r="D6" s="39">
        <v>11163.254606600769</v>
      </c>
      <c r="E6" s="218">
        <v>43256</v>
      </c>
      <c r="F6" s="36">
        <v>5</v>
      </c>
      <c r="G6" s="38">
        <v>1</v>
      </c>
      <c r="H6" s="211">
        <v>78203</v>
      </c>
      <c r="I6" s="211">
        <v>156406</v>
      </c>
      <c r="J6" s="36">
        <v>17.46</v>
      </c>
      <c r="K6" s="39">
        <v>17.46</v>
      </c>
      <c r="L6" s="39"/>
      <c r="M6" s="39"/>
      <c r="N6" s="39"/>
      <c r="O6" s="371" t="s">
        <v>1889</v>
      </c>
      <c r="P6" s="369" t="s">
        <v>1492</v>
      </c>
    </row>
    <row r="7" spans="1:16" s="401" customFormat="1" x14ac:dyDescent="0.2">
      <c r="A7" s="395" t="s">
        <v>1966</v>
      </c>
      <c r="B7" s="396" t="s">
        <v>1493</v>
      </c>
      <c r="C7" s="396" t="s">
        <v>1967</v>
      </c>
      <c r="D7" s="119">
        <v>5308.8418761447201</v>
      </c>
      <c r="E7" s="397">
        <v>43262</v>
      </c>
      <c r="F7" s="117">
        <v>11</v>
      </c>
      <c r="G7" s="121">
        <v>1</v>
      </c>
      <c r="H7" s="398">
        <v>114204</v>
      </c>
      <c r="I7" s="398">
        <v>301384</v>
      </c>
      <c r="J7" s="117">
        <v>16</v>
      </c>
      <c r="K7" s="119">
        <v>16</v>
      </c>
      <c r="L7" s="119"/>
      <c r="M7" s="119"/>
      <c r="N7" s="119"/>
      <c r="O7" s="446" t="s">
        <v>1890</v>
      </c>
      <c r="P7" s="400" t="s">
        <v>1494</v>
      </c>
    </row>
    <row r="8" spans="1:16" x14ac:dyDescent="0.2">
      <c r="A8" s="212" t="s">
        <v>178</v>
      </c>
      <c r="B8" s="214" t="s">
        <v>1496</v>
      </c>
      <c r="C8" s="214" t="s">
        <v>1495</v>
      </c>
      <c r="D8" s="39">
        <v>7800.7971844564581</v>
      </c>
      <c r="E8" s="218">
        <v>43164</v>
      </c>
      <c r="F8" s="36">
        <v>8</v>
      </c>
      <c r="G8" s="38">
        <v>0.25</v>
      </c>
      <c r="H8" s="211">
        <v>107183</v>
      </c>
      <c r="I8" s="211">
        <v>192929</v>
      </c>
      <c r="J8" s="36">
        <v>15.05</v>
      </c>
      <c r="K8" s="39">
        <v>3.7625000000000002</v>
      </c>
      <c r="L8" s="39"/>
      <c r="M8" s="39"/>
      <c r="N8" s="39"/>
      <c r="O8" s="267" t="s">
        <v>1497</v>
      </c>
      <c r="P8" s="370"/>
    </row>
    <row r="9" spans="1:16" s="78" customFormat="1" ht="27" x14ac:dyDescent="0.2">
      <c r="A9" s="215" t="s">
        <v>1899</v>
      </c>
      <c r="B9" s="109" t="s">
        <v>1900</v>
      </c>
      <c r="C9" s="216" t="s">
        <v>1891</v>
      </c>
      <c r="D9" s="110">
        <v>6121.4344698385839</v>
      </c>
      <c r="E9" s="372">
        <v>43222</v>
      </c>
      <c r="F9" s="109">
        <v>2</v>
      </c>
      <c r="G9" s="112">
        <v>0.33</v>
      </c>
      <c r="H9" s="217">
        <v>81136</v>
      </c>
      <c r="I9" s="217">
        <v>243407</v>
      </c>
      <c r="J9" s="109">
        <v>14.9</v>
      </c>
      <c r="K9" s="110">
        <v>4.9170000000000007</v>
      </c>
      <c r="L9" s="110"/>
      <c r="M9" s="110"/>
      <c r="N9" s="110"/>
      <c r="O9" s="373" t="s">
        <v>1901</v>
      </c>
      <c r="P9" s="374" t="s">
        <v>1498</v>
      </c>
    </row>
    <row r="10" spans="1:16" x14ac:dyDescent="0.2">
      <c r="A10" s="212" t="s">
        <v>178</v>
      </c>
      <c r="B10" s="36" t="s">
        <v>179</v>
      </c>
      <c r="C10" s="214" t="s">
        <v>1499</v>
      </c>
      <c r="D10" s="39">
        <v>7228.5350096416778</v>
      </c>
      <c r="E10" s="218">
        <v>43105</v>
      </c>
      <c r="F10" s="36">
        <v>5</v>
      </c>
      <c r="G10" s="38">
        <v>0.41699999999999998</v>
      </c>
      <c r="H10" s="211">
        <v>91789</v>
      </c>
      <c r="I10" s="211">
        <v>183578</v>
      </c>
      <c r="J10" s="36">
        <v>13.27</v>
      </c>
      <c r="K10" s="39">
        <v>5.5335899999999993</v>
      </c>
      <c r="L10" s="39"/>
      <c r="M10" s="39"/>
      <c r="N10" s="39"/>
      <c r="O10" s="267" t="s">
        <v>1500</v>
      </c>
      <c r="P10" s="370"/>
    </row>
    <row r="11" spans="1:16" x14ac:dyDescent="0.2">
      <c r="A11" s="212" t="s">
        <v>231</v>
      </c>
      <c r="B11" s="36" t="s">
        <v>287</v>
      </c>
      <c r="C11" s="36" t="s">
        <v>286</v>
      </c>
      <c r="D11" s="39">
        <v>10424.658509384566</v>
      </c>
      <c r="E11" s="218">
        <v>43186</v>
      </c>
      <c r="F11" s="36">
        <v>2</v>
      </c>
      <c r="G11" s="38">
        <v>0.15</v>
      </c>
      <c r="H11" s="211">
        <v>43447</v>
      </c>
      <c r="I11" s="211">
        <v>126431</v>
      </c>
      <c r="J11" s="36">
        <v>13.18</v>
      </c>
      <c r="K11" s="39">
        <v>1.9769999999999999</v>
      </c>
      <c r="L11" s="39"/>
      <c r="M11" s="39"/>
      <c r="N11" s="39"/>
      <c r="O11" s="267" t="s">
        <v>1501</v>
      </c>
      <c r="P11" s="370"/>
    </row>
    <row r="12" spans="1:16" s="78" customFormat="1" x14ac:dyDescent="0.2">
      <c r="A12" s="215" t="s">
        <v>1892</v>
      </c>
      <c r="B12" s="109" t="s">
        <v>1893</v>
      </c>
      <c r="C12" s="109" t="s">
        <v>1894</v>
      </c>
      <c r="D12" s="110">
        <v>5037.1900826446281</v>
      </c>
      <c r="E12" s="372">
        <v>43409</v>
      </c>
      <c r="F12" s="109">
        <v>5</v>
      </c>
      <c r="G12" s="112">
        <v>0.8</v>
      </c>
      <c r="H12" s="217">
        <v>96800</v>
      </c>
      <c r="I12" s="217">
        <v>242000</v>
      </c>
      <c r="J12" s="109">
        <v>12.19</v>
      </c>
      <c r="K12" s="110">
        <v>9.7520000000000007</v>
      </c>
      <c r="L12" s="110"/>
      <c r="M12" s="110"/>
      <c r="N12" s="110"/>
      <c r="O12" s="375" t="s">
        <v>1895</v>
      </c>
      <c r="P12" s="374" t="s">
        <v>1502</v>
      </c>
    </row>
    <row r="13" spans="1:16" x14ac:dyDescent="0.2">
      <c r="A13" s="212" t="s">
        <v>231</v>
      </c>
      <c r="B13" s="210" t="s">
        <v>1476</v>
      </c>
      <c r="C13" s="36" t="s">
        <v>1475</v>
      </c>
      <c r="D13" s="39">
        <v>12034.23967774421</v>
      </c>
      <c r="E13" s="218">
        <v>43440</v>
      </c>
      <c r="F13" s="36">
        <v>6</v>
      </c>
      <c r="G13" s="38">
        <v>1</v>
      </c>
      <c r="H13" s="211">
        <f>3.68*10000</f>
        <v>36800</v>
      </c>
      <c r="I13" s="211">
        <v>99300</v>
      </c>
      <c r="J13" s="36">
        <v>11.95</v>
      </c>
      <c r="K13" s="39">
        <v>11.95</v>
      </c>
      <c r="L13" s="39"/>
      <c r="M13" s="39"/>
      <c r="N13" s="39"/>
      <c r="O13" s="267" t="s">
        <v>1503</v>
      </c>
      <c r="P13" s="370"/>
    </row>
    <row r="14" spans="1:16" x14ac:dyDescent="0.2">
      <c r="A14" s="212" t="s">
        <v>186</v>
      </c>
      <c r="B14" s="214" t="s">
        <v>1505</v>
      </c>
      <c r="C14" s="36" t="s">
        <v>1504</v>
      </c>
      <c r="D14" s="39">
        <v>10426.666666666666</v>
      </c>
      <c r="E14" s="218">
        <v>43410</v>
      </c>
      <c r="F14" s="36">
        <v>6</v>
      </c>
      <c r="G14" s="38">
        <v>1</v>
      </c>
      <c r="H14" s="211">
        <v>62500</v>
      </c>
      <c r="I14" s="211">
        <v>112500</v>
      </c>
      <c r="J14" s="36">
        <v>11.73</v>
      </c>
      <c r="K14" s="39">
        <v>11.73</v>
      </c>
      <c r="L14" s="39"/>
      <c r="M14" s="39"/>
      <c r="N14" s="39"/>
      <c r="O14" s="267" t="s">
        <v>1506</v>
      </c>
      <c r="P14" s="370"/>
    </row>
    <row r="15" spans="1:16" s="78" customFormat="1" ht="27" x14ac:dyDescent="0.2">
      <c r="A15" s="215" t="s">
        <v>1897</v>
      </c>
      <c r="B15" s="109" t="s">
        <v>1898</v>
      </c>
      <c r="C15" s="216" t="s">
        <v>1507</v>
      </c>
      <c r="D15" s="110">
        <v>3047.8425237909005</v>
      </c>
      <c r="E15" s="372">
        <v>43187</v>
      </c>
      <c r="F15" s="109">
        <v>3</v>
      </c>
      <c r="G15" s="112">
        <v>0.34</v>
      </c>
      <c r="H15" s="217">
        <v>139490</v>
      </c>
      <c r="I15" s="217">
        <v>383550</v>
      </c>
      <c r="J15" s="109">
        <v>11.69</v>
      </c>
      <c r="K15" s="110">
        <v>3.9746000000000001</v>
      </c>
      <c r="L15" s="110"/>
      <c r="M15" s="110"/>
      <c r="N15" s="110"/>
      <c r="O15" s="373" t="s">
        <v>1896</v>
      </c>
      <c r="P15" s="374" t="s">
        <v>1508</v>
      </c>
    </row>
    <row r="16" spans="1:16" x14ac:dyDescent="0.2">
      <c r="A16" s="212" t="s">
        <v>181</v>
      </c>
      <c r="B16" s="214" t="s">
        <v>1509</v>
      </c>
      <c r="C16" s="36" t="s">
        <v>294</v>
      </c>
      <c r="D16" s="39">
        <v>6361.1111111111104</v>
      </c>
      <c r="E16" s="218">
        <v>43193</v>
      </c>
      <c r="F16" s="36">
        <v>3</v>
      </c>
      <c r="G16" s="38">
        <v>0.13</v>
      </c>
      <c r="H16" s="211">
        <v>55810</v>
      </c>
      <c r="I16" s="211">
        <v>180000</v>
      </c>
      <c r="J16" s="36">
        <v>11.45</v>
      </c>
      <c r="K16" s="39">
        <v>1.4884999999999999</v>
      </c>
      <c r="L16" s="39"/>
      <c r="M16" s="39"/>
      <c r="N16" s="39"/>
      <c r="O16" s="267" t="s">
        <v>1902</v>
      </c>
      <c r="P16" s="369" t="s">
        <v>1510</v>
      </c>
    </row>
    <row r="17" spans="1:16" s="401" customFormat="1" x14ac:dyDescent="0.2">
      <c r="A17" s="395" t="s">
        <v>1945</v>
      </c>
      <c r="B17" s="396" t="s">
        <v>660</v>
      </c>
      <c r="C17" s="117" t="s">
        <v>1946</v>
      </c>
      <c r="D17" s="119">
        <v>2711.2042424618498</v>
      </c>
      <c r="E17" s="397">
        <v>43259</v>
      </c>
      <c r="F17" s="117">
        <v>8</v>
      </c>
      <c r="G17" s="121">
        <v>0.74</v>
      </c>
      <c r="H17" s="398">
        <v>182668</v>
      </c>
      <c r="I17" s="398">
        <v>419002</v>
      </c>
      <c r="J17" s="117">
        <v>11.36</v>
      </c>
      <c r="K17" s="119">
        <v>8.4063999999999997</v>
      </c>
      <c r="L17" s="119"/>
      <c r="M17" s="119"/>
      <c r="N17" s="119"/>
      <c r="O17" s="399" t="s">
        <v>1947</v>
      </c>
      <c r="P17" s="400" t="s">
        <v>1511</v>
      </c>
    </row>
    <row r="18" spans="1:16" x14ac:dyDescent="0.2">
      <c r="A18" s="212" t="s">
        <v>226</v>
      </c>
      <c r="B18" s="214" t="s">
        <v>1512</v>
      </c>
      <c r="C18" s="36" t="s">
        <v>302</v>
      </c>
      <c r="D18" s="39">
        <v>12380.075306296116</v>
      </c>
      <c r="E18" s="218">
        <v>43204</v>
      </c>
      <c r="F18" s="36">
        <v>14</v>
      </c>
      <c r="G18" s="38">
        <v>0.34</v>
      </c>
      <c r="H18" s="211">
        <v>42891</v>
      </c>
      <c r="I18" s="211">
        <v>85783</v>
      </c>
      <c r="J18" s="36">
        <v>10.62</v>
      </c>
      <c r="K18" s="39">
        <v>3.6107999999999998</v>
      </c>
      <c r="L18" s="39"/>
      <c r="M18" s="39"/>
      <c r="N18" s="39"/>
      <c r="O18" s="267" t="s">
        <v>1513</v>
      </c>
      <c r="P18" s="370"/>
    </row>
    <row r="19" spans="1:16" x14ac:dyDescent="0.2">
      <c r="A19" s="212" t="s">
        <v>188</v>
      </c>
      <c r="B19" s="214" t="s">
        <v>1514</v>
      </c>
      <c r="C19" s="36" t="s">
        <v>285</v>
      </c>
      <c r="D19" s="39">
        <v>5599.1348787677507</v>
      </c>
      <c r="E19" s="218">
        <v>43160</v>
      </c>
      <c r="F19" s="36">
        <v>1</v>
      </c>
      <c r="G19" s="38">
        <v>0.16</v>
      </c>
      <c r="H19" s="211">
        <v>113857</v>
      </c>
      <c r="I19" s="211">
        <v>182171</v>
      </c>
      <c r="J19" s="36">
        <v>10.199999999999999</v>
      </c>
      <c r="K19" s="39">
        <v>1.6319999999999999</v>
      </c>
      <c r="L19" s="39"/>
      <c r="M19" s="39"/>
      <c r="N19" s="39"/>
      <c r="O19" s="267" t="s">
        <v>1515</v>
      </c>
      <c r="P19" s="369"/>
    </row>
    <row r="20" spans="1:16" ht="27.75" x14ac:dyDescent="0.2">
      <c r="A20" s="212" t="s">
        <v>235</v>
      </c>
      <c r="B20" s="214" t="s">
        <v>1516</v>
      </c>
      <c r="C20" s="214" t="s">
        <v>1904</v>
      </c>
      <c r="D20" s="39">
        <v>4515.6676576548207</v>
      </c>
      <c r="E20" s="218">
        <v>43115</v>
      </c>
      <c r="F20" s="36">
        <v>15</v>
      </c>
      <c r="G20" s="38">
        <v>0.33</v>
      </c>
      <c r="H20" s="211">
        <v>102934</v>
      </c>
      <c r="I20" s="211">
        <v>290860</v>
      </c>
      <c r="J20" s="36">
        <v>10.039999999999999</v>
      </c>
      <c r="K20" s="39">
        <v>3.3131999999999997</v>
      </c>
      <c r="L20" s="39"/>
      <c r="M20" s="39"/>
      <c r="N20" s="39"/>
      <c r="O20" s="371" t="s">
        <v>1903</v>
      </c>
      <c r="P20" s="369" t="s">
        <v>1517</v>
      </c>
    </row>
    <row r="21" spans="1:16" x14ac:dyDescent="0.2">
      <c r="A21" s="212" t="s">
        <v>229</v>
      </c>
      <c r="B21" s="210" t="s">
        <v>1482</v>
      </c>
      <c r="C21" s="214" t="s">
        <v>1481</v>
      </c>
      <c r="D21" s="39">
        <v>4073.2758620689656</v>
      </c>
      <c r="E21" s="218">
        <v>43443</v>
      </c>
      <c r="F21" s="36">
        <v>9</v>
      </c>
      <c r="G21" s="38">
        <v>0.41249999999999998</v>
      </c>
      <c r="H21" s="211">
        <f>18.1*10000</f>
        <v>181000</v>
      </c>
      <c r="I21" s="211">
        <v>232000</v>
      </c>
      <c r="J21" s="36">
        <v>9.4499999999999993</v>
      </c>
      <c r="K21" s="39">
        <v>3.8981249999999994</v>
      </c>
      <c r="L21" s="39"/>
      <c r="M21" s="39"/>
      <c r="N21" s="39"/>
      <c r="O21" s="267" t="s">
        <v>1905</v>
      </c>
      <c r="P21" s="369"/>
    </row>
    <row r="22" spans="1:16" s="170" customFormat="1" x14ac:dyDescent="0.2">
      <c r="A22" s="433" t="s">
        <v>1519</v>
      </c>
      <c r="B22" s="434" t="s">
        <v>1518</v>
      </c>
      <c r="C22" s="435" t="s">
        <v>1956</v>
      </c>
      <c r="D22" s="436">
        <v>5412.9069037596701</v>
      </c>
      <c r="E22" s="437">
        <v>43254</v>
      </c>
      <c r="F22" s="435">
        <v>3</v>
      </c>
      <c r="G22" s="438">
        <v>1</v>
      </c>
      <c r="H22" s="439">
        <v>52624</v>
      </c>
      <c r="I22" s="439">
        <v>173659</v>
      </c>
      <c r="J22" s="435">
        <v>9.4</v>
      </c>
      <c r="K22" s="436">
        <v>9.4</v>
      </c>
      <c r="L22" s="436"/>
      <c r="M22" s="436"/>
      <c r="N22" s="436"/>
      <c r="O22" s="440" t="s">
        <v>1520</v>
      </c>
      <c r="P22" s="441"/>
    </row>
    <row r="23" spans="1:16" x14ac:dyDescent="0.2">
      <c r="A23" s="212" t="s">
        <v>167</v>
      </c>
      <c r="B23" s="214" t="s">
        <v>1521</v>
      </c>
      <c r="C23" s="36" t="s">
        <v>321</v>
      </c>
      <c r="D23" s="39">
        <v>13435.6180097505</v>
      </c>
      <c r="E23" s="218">
        <v>43267</v>
      </c>
      <c r="F23" s="36">
        <v>16</v>
      </c>
      <c r="G23" s="38">
        <v>0.4</v>
      </c>
      <c r="H23" s="211">
        <v>34870</v>
      </c>
      <c r="I23" s="211">
        <v>69740</v>
      </c>
      <c r="J23" s="36">
        <v>9.3699999999999992</v>
      </c>
      <c r="K23" s="39">
        <v>3.7479999999999998</v>
      </c>
      <c r="L23" s="39"/>
      <c r="M23" s="39"/>
      <c r="N23" s="39"/>
      <c r="O23" s="267" t="s">
        <v>1522</v>
      </c>
      <c r="P23" s="370"/>
    </row>
    <row r="24" spans="1:16" x14ac:dyDescent="0.2">
      <c r="A24" s="212" t="s">
        <v>208</v>
      </c>
      <c r="B24" s="214" t="s">
        <v>1523</v>
      </c>
      <c r="C24" s="36" t="s">
        <v>339</v>
      </c>
      <c r="D24" s="39">
        <v>3126.8933019185451</v>
      </c>
      <c r="E24" s="218">
        <v>43376</v>
      </c>
      <c r="F24" s="36">
        <v>3</v>
      </c>
      <c r="G24" s="38">
        <v>1</v>
      </c>
      <c r="H24" s="211">
        <v>78900</v>
      </c>
      <c r="I24" s="211">
        <v>297100</v>
      </c>
      <c r="J24" s="36">
        <v>9.2899999999999991</v>
      </c>
      <c r="K24" s="39">
        <v>9.2899999999999991</v>
      </c>
      <c r="L24" s="39"/>
      <c r="M24" s="39"/>
      <c r="N24" s="39"/>
      <c r="O24" s="267" t="s">
        <v>1525</v>
      </c>
      <c r="P24" s="369" t="s">
        <v>1524</v>
      </c>
    </row>
    <row r="25" spans="1:16" x14ac:dyDescent="0.2">
      <c r="A25" s="212" t="s">
        <v>226</v>
      </c>
      <c r="B25" s="214" t="s">
        <v>1526</v>
      </c>
      <c r="C25" s="36" t="s">
        <v>270</v>
      </c>
      <c r="D25" s="39">
        <v>5130.5130513051299</v>
      </c>
      <c r="E25" s="218">
        <v>43108</v>
      </c>
      <c r="F25" s="36">
        <v>8</v>
      </c>
      <c r="G25" s="38">
        <v>0.5</v>
      </c>
      <c r="H25" s="211">
        <v>68369</v>
      </c>
      <c r="I25" s="211">
        <v>177760</v>
      </c>
      <c r="J25" s="36">
        <v>9.1199999999999992</v>
      </c>
      <c r="K25" s="39">
        <v>4.5599999999999996</v>
      </c>
      <c r="L25" s="39"/>
      <c r="M25" s="39"/>
      <c r="N25" s="39"/>
      <c r="O25" s="267" t="s">
        <v>1527</v>
      </c>
      <c r="P25" s="370"/>
    </row>
    <row r="26" spans="1:16" s="401" customFormat="1" x14ac:dyDescent="0.2">
      <c r="A26" s="445" t="s">
        <v>1530</v>
      </c>
      <c r="B26" s="117" t="s">
        <v>1961</v>
      </c>
      <c r="C26" s="396" t="s">
        <v>1528</v>
      </c>
      <c r="D26" s="119">
        <v>4234.3481194932101</v>
      </c>
      <c r="E26" s="397">
        <v>43260</v>
      </c>
      <c r="F26" s="117">
        <v>9</v>
      </c>
      <c r="G26" s="121">
        <v>1</v>
      </c>
      <c r="H26" s="398">
        <v>126546</v>
      </c>
      <c r="I26" s="398">
        <v>210422</v>
      </c>
      <c r="J26" s="117">
        <v>8.91</v>
      </c>
      <c r="K26" s="119">
        <v>8.91</v>
      </c>
      <c r="L26" s="119"/>
      <c r="M26" s="119"/>
      <c r="N26" s="119"/>
      <c r="O26" s="399" t="s">
        <v>1962</v>
      </c>
      <c r="P26" s="400" t="s">
        <v>1529</v>
      </c>
    </row>
    <row r="27" spans="1:16" ht="27" x14ac:dyDescent="0.2">
      <c r="A27" s="209" t="s">
        <v>1531</v>
      </c>
      <c r="B27" s="36" t="s">
        <v>264</v>
      </c>
      <c r="C27" s="36" t="s">
        <v>263</v>
      </c>
      <c r="D27" s="39">
        <v>11621.263847279315</v>
      </c>
      <c r="E27" s="218">
        <v>43102</v>
      </c>
      <c r="F27" s="36">
        <v>2</v>
      </c>
      <c r="G27" s="38">
        <v>0.35</v>
      </c>
      <c r="H27" s="211">
        <v>47843</v>
      </c>
      <c r="I27" s="211">
        <v>71765</v>
      </c>
      <c r="J27" s="36">
        <v>8.34</v>
      </c>
      <c r="K27" s="39">
        <v>2.9189999999999996</v>
      </c>
      <c r="L27" s="39"/>
      <c r="M27" s="39"/>
      <c r="N27" s="39"/>
      <c r="O27" s="267" t="s">
        <v>1906</v>
      </c>
      <c r="P27" s="369" t="s">
        <v>1532</v>
      </c>
    </row>
    <row r="28" spans="1:16" x14ac:dyDescent="0.2">
      <c r="A28" s="212" t="s">
        <v>178</v>
      </c>
      <c r="B28" s="36" t="s">
        <v>185</v>
      </c>
      <c r="C28" s="214" t="s">
        <v>1533</v>
      </c>
      <c r="D28" s="39">
        <v>2405.05301638743</v>
      </c>
      <c r="E28" s="218">
        <v>43266</v>
      </c>
      <c r="F28" s="36">
        <v>15</v>
      </c>
      <c r="G28" s="38">
        <v>0.5</v>
      </c>
      <c r="H28" s="211">
        <v>133053</v>
      </c>
      <c r="I28" s="211">
        <v>332633</v>
      </c>
      <c r="J28" s="36">
        <v>8</v>
      </c>
      <c r="K28" s="39">
        <v>4</v>
      </c>
      <c r="L28" s="39"/>
      <c r="M28" s="39"/>
      <c r="N28" s="39"/>
      <c r="O28" s="267" t="s">
        <v>1534</v>
      </c>
      <c r="P28" s="370"/>
    </row>
    <row r="29" spans="1:16" x14ac:dyDescent="0.2">
      <c r="A29" s="212" t="s">
        <v>198</v>
      </c>
      <c r="B29" s="36" t="s">
        <v>265</v>
      </c>
      <c r="C29" s="214" t="s">
        <v>1535</v>
      </c>
      <c r="D29" s="39">
        <v>5505.4289646734978</v>
      </c>
      <c r="E29" s="218">
        <v>43111</v>
      </c>
      <c r="F29" s="36">
        <v>11</v>
      </c>
      <c r="G29" s="38">
        <v>0.2</v>
      </c>
      <c r="H29" s="211">
        <v>57543</v>
      </c>
      <c r="I29" s="211">
        <v>143858</v>
      </c>
      <c r="J29" s="36">
        <v>7.92</v>
      </c>
      <c r="K29" s="39">
        <v>1.5840000000000001</v>
      </c>
      <c r="L29" s="39"/>
      <c r="M29" s="39"/>
      <c r="N29" s="39"/>
      <c r="O29" s="267" t="s">
        <v>1907</v>
      </c>
      <c r="P29" s="369" t="s">
        <v>1536</v>
      </c>
    </row>
    <row r="30" spans="1:16" x14ac:dyDescent="0.2">
      <c r="A30" s="212" t="s">
        <v>343</v>
      </c>
      <c r="B30" s="210" t="s">
        <v>1468</v>
      </c>
      <c r="C30" s="214" t="s">
        <v>1467</v>
      </c>
      <c r="D30" s="39">
        <v>6984.9690539345711</v>
      </c>
      <c r="E30" s="218">
        <v>43436</v>
      </c>
      <c r="F30" s="36">
        <v>2</v>
      </c>
      <c r="G30" s="38">
        <v>0.245</v>
      </c>
      <c r="H30" s="211">
        <f>5.14*10000</f>
        <v>51400</v>
      </c>
      <c r="I30" s="211">
        <v>113100</v>
      </c>
      <c r="J30" s="36">
        <v>7.9</v>
      </c>
      <c r="K30" s="39">
        <v>1.9355</v>
      </c>
      <c r="L30" s="39"/>
      <c r="M30" s="39"/>
      <c r="N30" s="39"/>
      <c r="O30" s="267" t="s">
        <v>1537</v>
      </c>
      <c r="P30" s="370"/>
    </row>
    <row r="31" spans="1:16" x14ac:dyDescent="0.2">
      <c r="A31" s="212" t="s">
        <v>195</v>
      </c>
      <c r="B31" s="214" t="s">
        <v>1538</v>
      </c>
      <c r="C31" s="36" t="s">
        <v>1539</v>
      </c>
      <c r="D31" s="39">
        <v>4292.8784113551392</v>
      </c>
      <c r="E31" s="218">
        <v>43168</v>
      </c>
      <c r="F31" s="36">
        <v>12</v>
      </c>
      <c r="G31" s="38">
        <v>0.35</v>
      </c>
      <c r="H31" s="211">
        <v>100142</v>
      </c>
      <c r="I31" s="211">
        <v>178668</v>
      </c>
      <c r="J31" s="36">
        <v>7.67</v>
      </c>
      <c r="K31" s="39">
        <v>2.6844999999999999</v>
      </c>
      <c r="L31" s="39"/>
      <c r="M31" s="39"/>
      <c r="N31" s="39"/>
      <c r="O31" s="267" t="s">
        <v>1540</v>
      </c>
      <c r="P31" s="370"/>
    </row>
    <row r="32" spans="1:16" s="170" customFormat="1" x14ac:dyDescent="0.2">
      <c r="A32" s="442" t="s">
        <v>1957</v>
      </c>
      <c r="B32" s="435" t="s">
        <v>1958</v>
      </c>
      <c r="C32" s="434" t="s">
        <v>1541</v>
      </c>
      <c r="D32" s="436">
        <v>6203.4208657408499</v>
      </c>
      <c r="E32" s="437">
        <v>43201</v>
      </c>
      <c r="F32" s="435">
        <v>11</v>
      </c>
      <c r="G32" s="438">
        <v>0.5</v>
      </c>
      <c r="H32" s="439">
        <v>55653</v>
      </c>
      <c r="I32" s="439">
        <v>116871</v>
      </c>
      <c r="J32" s="435">
        <v>7.25</v>
      </c>
      <c r="K32" s="436">
        <v>3.625</v>
      </c>
      <c r="L32" s="436"/>
      <c r="M32" s="436"/>
      <c r="N32" s="436"/>
      <c r="O32" s="440" t="s">
        <v>1542</v>
      </c>
      <c r="P32" s="441"/>
    </row>
    <row r="33" spans="1:16" x14ac:dyDescent="0.2">
      <c r="A33" s="212" t="s">
        <v>315</v>
      </c>
      <c r="B33" s="36" t="s">
        <v>316</v>
      </c>
      <c r="C33" s="214" t="s">
        <v>1543</v>
      </c>
      <c r="D33" s="39">
        <v>3871.5627815194543</v>
      </c>
      <c r="E33" s="218">
        <v>43253</v>
      </c>
      <c r="F33" s="36">
        <v>2</v>
      </c>
      <c r="G33" s="38">
        <v>0.5</v>
      </c>
      <c r="H33" s="211">
        <v>66603</v>
      </c>
      <c r="I33" s="211">
        <v>186488</v>
      </c>
      <c r="J33" s="36">
        <v>7.22</v>
      </c>
      <c r="K33" s="39">
        <v>3.61</v>
      </c>
      <c r="L33" s="39"/>
      <c r="M33" s="39"/>
      <c r="N33" s="39"/>
      <c r="O33" s="267" t="s">
        <v>1911</v>
      </c>
      <c r="P33" s="369" t="s">
        <v>1544</v>
      </c>
    </row>
    <row r="34" spans="1:16" x14ac:dyDescent="0.2">
      <c r="A34" s="212" t="s">
        <v>188</v>
      </c>
      <c r="B34" s="214" t="s">
        <v>1545</v>
      </c>
      <c r="C34" s="36" t="s">
        <v>280</v>
      </c>
      <c r="D34" s="39">
        <v>8706.8965517241377</v>
      </c>
      <c r="E34" s="218">
        <v>43132</v>
      </c>
      <c r="F34" s="36">
        <v>1</v>
      </c>
      <c r="G34" s="38">
        <v>0.3</v>
      </c>
      <c r="H34" s="211">
        <v>45111</v>
      </c>
      <c r="I34" s="211">
        <v>81200</v>
      </c>
      <c r="J34" s="36">
        <v>7.07</v>
      </c>
      <c r="K34" s="39">
        <v>2.121</v>
      </c>
      <c r="L34" s="39"/>
      <c r="M34" s="39"/>
      <c r="N34" s="39"/>
      <c r="O34" s="267" t="s">
        <v>1912</v>
      </c>
      <c r="P34" s="369" t="s">
        <v>1546</v>
      </c>
    </row>
    <row r="35" spans="1:16" x14ac:dyDescent="0.2">
      <c r="A35" s="212" t="s">
        <v>198</v>
      </c>
      <c r="B35" s="214" t="s">
        <v>1548</v>
      </c>
      <c r="C35" s="214" t="s">
        <v>1547</v>
      </c>
      <c r="D35" s="39">
        <v>3702.3168487060348</v>
      </c>
      <c r="E35" s="218">
        <v>43103</v>
      </c>
      <c r="F35" s="36">
        <v>3</v>
      </c>
      <c r="G35" s="38">
        <v>0.33</v>
      </c>
      <c r="H35" s="211">
        <v>74503</v>
      </c>
      <c r="I35" s="211">
        <v>189611</v>
      </c>
      <c r="J35" s="36">
        <v>7.02</v>
      </c>
      <c r="K35" s="39">
        <v>2.3165999999999998</v>
      </c>
      <c r="L35" s="39"/>
      <c r="M35" s="39"/>
      <c r="N35" s="39"/>
      <c r="O35" s="267" t="s">
        <v>1549</v>
      </c>
      <c r="P35" s="370"/>
    </row>
    <row r="36" spans="1:16" x14ac:dyDescent="0.2">
      <c r="A36" s="212" t="s">
        <v>231</v>
      </c>
      <c r="B36" s="36" t="s">
        <v>289</v>
      </c>
      <c r="C36" s="36" t="s">
        <v>288</v>
      </c>
      <c r="D36" s="39">
        <v>5392.8648250007682</v>
      </c>
      <c r="E36" s="218">
        <v>43160</v>
      </c>
      <c r="F36" s="36">
        <v>4</v>
      </c>
      <c r="G36" s="38">
        <v>0.15</v>
      </c>
      <c r="H36" s="211">
        <v>65086</v>
      </c>
      <c r="I36" s="211">
        <v>130172</v>
      </c>
      <c r="J36" s="36">
        <v>7.02</v>
      </c>
      <c r="K36" s="39">
        <v>1.0529999999999999</v>
      </c>
      <c r="L36" s="39"/>
      <c r="M36" s="39"/>
      <c r="N36" s="39"/>
      <c r="O36" s="267" t="s">
        <v>1550</v>
      </c>
      <c r="P36" s="370"/>
    </row>
    <row r="37" spans="1:16" x14ac:dyDescent="0.2">
      <c r="A37" s="212" t="s">
        <v>342</v>
      </c>
      <c r="B37" s="210" t="s">
        <v>1470</v>
      </c>
      <c r="C37" s="36" t="s">
        <v>1469</v>
      </c>
      <c r="D37" s="39">
        <v>8800.5050505050513</v>
      </c>
      <c r="E37" s="218">
        <v>43435</v>
      </c>
      <c r="F37" s="36">
        <v>1</v>
      </c>
      <c r="G37" s="38">
        <v>0.3</v>
      </c>
      <c r="H37" s="211">
        <f>4.4*10000</f>
        <v>44000</v>
      </c>
      <c r="I37" s="211">
        <v>79200</v>
      </c>
      <c r="J37" s="36">
        <v>6.97</v>
      </c>
      <c r="K37" s="39">
        <v>2.0909999999999997</v>
      </c>
      <c r="L37" s="39"/>
      <c r="M37" s="39"/>
      <c r="N37" s="39"/>
      <c r="O37" s="267" t="s">
        <v>1551</v>
      </c>
      <c r="P37" s="370"/>
    </row>
    <row r="38" spans="1:16" s="78" customFormat="1" ht="27" x14ac:dyDescent="0.2">
      <c r="A38" s="215" t="s">
        <v>1552</v>
      </c>
      <c r="B38" s="216" t="s">
        <v>1514</v>
      </c>
      <c r="C38" s="109" t="s">
        <v>1553</v>
      </c>
      <c r="D38" s="110">
        <v>2098.334311937946</v>
      </c>
      <c r="E38" s="372">
        <v>43196</v>
      </c>
      <c r="F38" s="109">
        <v>6</v>
      </c>
      <c r="G38" s="112">
        <v>0.5</v>
      </c>
      <c r="H38" s="217">
        <v>169288</v>
      </c>
      <c r="I38" s="217">
        <v>323590</v>
      </c>
      <c r="J38" s="109">
        <v>6.79</v>
      </c>
      <c r="K38" s="110">
        <v>3.395</v>
      </c>
      <c r="L38" s="110"/>
      <c r="M38" s="110"/>
      <c r="N38" s="110"/>
      <c r="O38" s="373" t="s">
        <v>1913</v>
      </c>
      <c r="P38" s="369" t="s">
        <v>1632</v>
      </c>
    </row>
    <row r="39" spans="1:16" x14ac:dyDescent="0.2">
      <c r="A39" s="212" t="s">
        <v>188</v>
      </c>
      <c r="B39" s="36" t="s">
        <v>282</v>
      </c>
      <c r="C39" s="36" t="s">
        <v>1554</v>
      </c>
      <c r="D39" s="39">
        <v>6908.2323958119487</v>
      </c>
      <c r="E39" s="218">
        <v>43229</v>
      </c>
      <c r="F39" s="36">
        <v>9</v>
      </c>
      <c r="G39" s="38">
        <v>0.33</v>
      </c>
      <c r="H39" s="211">
        <v>44282</v>
      </c>
      <c r="I39" s="211">
        <v>97420</v>
      </c>
      <c r="J39" s="36">
        <v>6.73</v>
      </c>
      <c r="K39" s="39">
        <v>2.2209000000000003</v>
      </c>
      <c r="L39" s="39"/>
      <c r="M39" s="39"/>
      <c r="N39" s="39"/>
      <c r="O39" s="267" t="s">
        <v>1555</v>
      </c>
      <c r="P39" s="370"/>
    </row>
    <row r="40" spans="1:16" x14ac:dyDescent="0.2">
      <c r="A40" s="212" t="s">
        <v>204</v>
      </c>
      <c r="B40" s="36" t="s">
        <v>264</v>
      </c>
      <c r="C40" s="214" t="s">
        <v>1556</v>
      </c>
      <c r="D40" s="39">
        <v>6647.9315867403984</v>
      </c>
      <c r="E40" s="218">
        <v>43227</v>
      </c>
      <c r="F40" s="36">
        <v>7</v>
      </c>
      <c r="G40" s="38">
        <v>1</v>
      </c>
      <c r="H40" s="211">
        <v>49640</v>
      </c>
      <c r="I40" s="211">
        <v>99279</v>
      </c>
      <c r="J40" s="36">
        <v>6.6</v>
      </c>
      <c r="K40" s="39">
        <v>6.6</v>
      </c>
      <c r="L40" s="39"/>
      <c r="M40" s="39"/>
      <c r="N40" s="39"/>
      <c r="O40" s="267" t="s">
        <v>1908</v>
      </c>
      <c r="P40" s="369" t="s">
        <v>1557</v>
      </c>
    </row>
    <row r="41" spans="1:16" x14ac:dyDescent="0.2">
      <c r="A41" s="212" t="s">
        <v>219</v>
      </c>
      <c r="B41" s="210" t="s">
        <v>1076</v>
      </c>
      <c r="C41" s="36" t="s">
        <v>1075</v>
      </c>
      <c r="D41" s="39">
        <v>3285.9</v>
      </c>
      <c r="E41" s="218">
        <v>43438</v>
      </c>
      <c r="F41" s="36">
        <v>4</v>
      </c>
      <c r="G41" s="38">
        <v>0.6</v>
      </c>
      <c r="H41" s="211">
        <f>8.03*10000</f>
        <v>80300</v>
      </c>
      <c r="I41" s="211">
        <f>188500+69000</f>
        <v>257500</v>
      </c>
      <c r="J41" s="36">
        <v>6.6</v>
      </c>
      <c r="K41" s="39">
        <v>3.9599999999999995</v>
      </c>
      <c r="L41" s="39"/>
      <c r="M41" s="39"/>
      <c r="N41" s="39"/>
      <c r="O41" s="267" t="s">
        <v>1909</v>
      </c>
      <c r="P41" s="369"/>
    </row>
    <row r="42" spans="1:16" x14ac:dyDescent="0.2">
      <c r="A42" s="212" t="s">
        <v>188</v>
      </c>
      <c r="B42" s="36" t="s">
        <v>282</v>
      </c>
      <c r="C42" s="36" t="s">
        <v>1558</v>
      </c>
      <c r="D42" s="39">
        <v>4964.1211084115621</v>
      </c>
      <c r="E42" s="218">
        <v>43192</v>
      </c>
      <c r="F42" s="36">
        <v>2</v>
      </c>
      <c r="G42" s="38">
        <v>0.25</v>
      </c>
      <c r="H42" s="211">
        <v>49556</v>
      </c>
      <c r="I42" s="211">
        <v>123889</v>
      </c>
      <c r="J42" s="36">
        <v>6.15</v>
      </c>
      <c r="K42" s="39">
        <v>1.5375000000000001</v>
      </c>
      <c r="L42" s="39"/>
      <c r="M42" s="39"/>
      <c r="N42" s="39"/>
      <c r="O42" s="267" t="s">
        <v>1914</v>
      </c>
      <c r="P42" s="369"/>
    </row>
    <row r="43" spans="1:16" x14ac:dyDescent="0.2">
      <c r="A43" s="212" t="s">
        <v>164</v>
      </c>
      <c r="B43" s="214" t="s">
        <v>1560</v>
      </c>
      <c r="C43" s="214" t="s">
        <v>1561</v>
      </c>
      <c r="D43" s="39">
        <v>4301.0752688172042</v>
      </c>
      <c r="E43" s="218">
        <v>43228</v>
      </c>
      <c r="F43" s="36">
        <v>8</v>
      </c>
      <c r="G43" s="38">
        <v>0.51</v>
      </c>
      <c r="H43" s="211">
        <v>46500</v>
      </c>
      <c r="I43" s="211">
        <v>145184</v>
      </c>
      <c r="J43" s="36">
        <v>6</v>
      </c>
      <c r="K43" s="39">
        <v>3.06</v>
      </c>
      <c r="L43" s="39"/>
      <c r="M43" s="39"/>
      <c r="N43" s="39"/>
      <c r="O43" s="267" t="s">
        <v>1563</v>
      </c>
      <c r="P43" s="369" t="s">
        <v>1562</v>
      </c>
    </row>
    <row r="44" spans="1:16" x14ac:dyDescent="0.2">
      <c r="A44" s="212" t="s">
        <v>308</v>
      </c>
      <c r="B44" s="214" t="s">
        <v>1564</v>
      </c>
      <c r="C44" s="214" t="s">
        <v>1566</v>
      </c>
      <c r="D44" s="39">
        <v>2277.0989986846807</v>
      </c>
      <c r="E44" s="218">
        <v>43224</v>
      </c>
      <c r="F44" s="36">
        <v>4</v>
      </c>
      <c r="G44" s="38">
        <v>0.5</v>
      </c>
      <c r="H44" s="211">
        <v>105221</v>
      </c>
      <c r="I44" s="211">
        <v>263054</v>
      </c>
      <c r="J44" s="36">
        <v>5.99</v>
      </c>
      <c r="K44" s="39">
        <v>2.9950000000000001</v>
      </c>
      <c r="L44" s="39"/>
      <c r="M44" s="39"/>
      <c r="N44" s="39"/>
      <c r="O44" s="267" t="s">
        <v>1915</v>
      </c>
      <c r="P44" s="369" t="s">
        <v>1565</v>
      </c>
    </row>
    <row r="45" spans="1:16" ht="27" x14ac:dyDescent="0.2">
      <c r="A45" s="212" t="s">
        <v>201</v>
      </c>
      <c r="B45" s="214" t="s">
        <v>1567</v>
      </c>
      <c r="C45" s="36" t="s">
        <v>326</v>
      </c>
      <c r="D45" s="39">
        <v>3599.0338164251207</v>
      </c>
      <c r="E45" s="218">
        <v>43313</v>
      </c>
      <c r="F45" s="36">
        <v>1</v>
      </c>
      <c r="G45" s="38">
        <v>0.33</v>
      </c>
      <c r="H45" s="211">
        <v>36800</v>
      </c>
      <c r="I45" s="211">
        <v>165600</v>
      </c>
      <c r="J45" s="36">
        <v>5.96</v>
      </c>
      <c r="K45" s="39">
        <v>1.9668000000000001</v>
      </c>
      <c r="L45" s="39"/>
      <c r="M45" s="39"/>
      <c r="N45" s="39"/>
      <c r="O45" s="267" t="s">
        <v>1638</v>
      </c>
      <c r="P45" s="369" t="s">
        <v>1568</v>
      </c>
    </row>
    <row r="46" spans="1:16" s="78" customFormat="1" x14ac:dyDescent="0.2">
      <c r="A46" s="215" t="s">
        <v>1916</v>
      </c>
      <c r="B46" s="216" t="s">
        <v>1570</v>
      </c>
      <c r="C46" s="109" t="s">
        <v>1917</v>
      </c>
      <c r="D46" s="110">
        <v>2635.0344240187383</v>
      </c>
      <c r="E46" s="372">
        <v>43200</v>
      </c>
      <c r="F46" s="109">
        <v>10</v>
      </c>
      <c r="G46" s="112">
        <v>1</v>
      </c>
      <c r="H46" s="217">
        <v>112722</v>
      </c>
      <c r="I46" s="217">
        <v>225424</v>
      </c>
      <c r="J46" s="109">
        <v>5.94</v>
      </c>
      <c r="K46" s="110">
        <v>5.94</v>
      </c>
      <c r="L46" s="110"/>
      <c r="M46" s="110"/>
      <c r="N46" s="110"/>
      <c r="O46" s="373" t="s">
        <v>1572</v>
      </c>
      <c r="P46" s="374" t="s">
        <v>1571</v>
      </c>
    </row>
    <row r="47" spans="1:16" x14ac:dyDescent="0.2">
      <c r="A47" s="212" t="s">
        <v>178</v>
      </c>
      <c r="B47" s="36" t="s">
        <v>281</v>
      </c>
      <c r="C47" s="214" t="s">
        <v>1573</v>
      </c>
      <c r="D47" s="39">
        <v>8196.2481962481961</v>
      </c>
      <c r="E47" s="218">
        <v>43133</v>
      </c>
      <c r="F47" s="36">
        <v>2</v>
      </c>
      <c r="G47" s="38">
        <v>0.4</v>
      </c>
      <c r="H47" s="211">
        <v>49635</v>
      </c>
      <c r="I47" s="211">
        <v>69300</v>
      </c>
      <c r="J47" s="36">
        <v>5.68</v>
      </c>
      <c r="K47" s="39">
        <v>2.2719999999999998</v>
      </c>
      <c r="L47" s="39"/>
      <c r="M47" s="39"/>
      <c r="N47" s="39"/>
      <c r="O47" s="267" t="s">
        <v>1574</v>
      </c>
      <c r="P47" s="370"/>
    </row>
    <row r="48" spans="1:16" x14ac:dyDescent="0.2">
      <c r="A48" s="212" t="s">
        <v>178</v>
      </c>
      <c r="B48" s="210" t="s">
        <v>1472</v>
      </c>
      <c r="C48" s="36" t="s">
        <v>1471</v>
      </c>
      <c r="D48" s="39">
        <v>4671.0526315789475</v>
      </c>
      <c r="E48" s="218">
        <v>43437</v>
      </c>
      <c r="F48" s="36">
        <v>3</v>
      </c>
      <c r="G48" s="38">
        <v>0.23</v>
      </c>
      <c r="H48" s="211">
        <f>6.08*10000</f>
        <v>60800</v>
      </c>
      <c r="I48" s="211">
        <v>121600</v>
      </c>
      <c r="J48" s="36">
        <v>5.68</v>
      </c>
      <c r="K48" s="39">
        <v>1.3064</v>
      </c>
      <c r="L48" s="39"/>
      <c r="M48" s="39"/>
      <c r="N48" s="39"/>
      <c r="O48" s="267" t="s">
        <v>1575</v>
      </c>
      <c r="P48" s="370"/>
    </row>
    <row r="49" spans="1:16" x14ac:dyDescent="0.2">
      <c r="A49" s="212" t="s">
        <v>188</v>
      </c>
      <c r="B49" s="214" t="s">
        <v>1622</v>
      </c>
      <c r="C49" s="36" t="s">
        <v>188</v>
      </c>
      <c r="D49" s="39">
        <v>8519.6374622356489</v>
      </c>
      <c r="E49" s="218">
        <v>43286</v>
      </c>
      <c r="F49" s="36">
        <v>5</v>
      </c>
      <c r="G49" s="38">
        <v>0.75</v>
      </c>
      <c r="H49" s="211">
        <v>41000</v>
      </c>
      <c r="I49" s="211">
        <v>66200</v>
      </c>
      <c r="J49" s="36">
        <v>5.64</v>
      </c>
      <c r="K49" s="39">
        <v>4.2300000000000004</v>
      </c>
      <c r="L49" s="39"/>
      <c r="M49" s="39"/>
      <c r="N49" s="39"/>
      <c r="O49" s="267" t="s">
        <v>1623</v>
      </c>
      <c r="P49" s="370"/>
    </row>
    <row r="50" spans="1:16" x14ac:dyDescent="0.2">
      <c r="A50" s="212" t="s">
        <v>295</v>
      </c>
      <c r="B50" s="36" t="s">
        <v>296</v>
      </c>
      <c r="C50" s="214" t="s">
        <v>1624</v>
      </c>
      <c r="D50" s="39">
        <v>2840.8947556981889</v>
      </c>
      <c r="E50" s="218">
        <v>43194</v>
      </c>
      <c r="F50" s="36">
        <v>4</v>
      </c>
      <c r="G50" s="38">
        <v>0.5</v>
      </c>
      <c r="H50" s="211">
        <v>68337</v>
      </c>
      <c r="I50" s="211">
        <v>198177</v>
      </c>
      <c r="J50" s="36">
        <v>5.63</v>
      </c>
      <c r="K50" s="39">
        <v>2.8149999999999999</v>
      </c>
      <c r="L50" s="39"/>
      <c r="M50" s="39"/>
      <c r="N50" s="39"/>
      <c r="O50" s="267" t="s">
        <v>1918</v>
      </c>
      <c r="P50" s="369" t="s">
        <v>1625</v>
      </c>
    </row>
    <row r="51" spans="1:16" x14ac:dyDescent="0.2">
      <c r="A51" s="212" t="s">
        <v>221</v>
      </c>
      <c r="B51" s="214" t="s">
        <v>1626</v>
      </c>
      <c r="C51" s="36" t="s">
        <v>341</v>
      </c>
      <c r="D51" s="39">
        <v>4253.4992223950239</v>
      </c>
      <c r="E51" s="218">
        <v>43407</v>
      </c>
      <c r="F51" s="36">
        <v>3</v>
      </c>
      <c r="G51" s="38">
        <v>0.4</v>
      </c>
      <c r="H51" s="211">
        <v>85700</v>
      </c>
      <c r="I51" s="211">
        <v>128600</v>
      </c>
      <c r="J51" s="36">
        <v>5.47</v>
      </c>
      <c r="K51" s="39">
        <v>2.1880000000000002</v>
      </c>
      <c r="L51" s="39"/>
      <c r="M51" s="39"/>
      <c r="N51" s="39"/>
      <c r="O51" s="371" t="s">
        <v>1627</v>
      </c>
      <c r="P51" s="369" t="s">
        <v>1628</v>
      </c>
    </row>
    <row r="52" spans="1:16" x14ac:dyDescent="0.2">
      <c r="A52" s="212" t="s">
        <v>231</v>
      </c>
      <c r="B52" s="210" t="s">
        <v>1474</v>
      </c>
      <c r="C52" s="36" t="s">
        <v>1473</v>
      </c>
      <c r="D52" s="39">
        <v>9016.6666666666661</v>
      </c>
      <c r="E52" s="218">
        <v>43439</v>
      </c>
      <c r="F52" s="36">
        <v>5</v>
      </c>
      <c r="G52" s="38">
        <v>1</v>
      </c>
      <c r="H52" s="211">
        <f>2.22*10000</f>
        <v>22200.000000000004</v>
      </c>
      <c r="I52" s="211">
        <v>60000</v>
      </c>
      <c r="J52" s="36">
        <v>5.41</v>
      </c>
      <c r="K52" s="39">
        <v>5.41</v>
      </c>
      <c r="L52" s="39"/>
      <c r="M52" s="39"/>
      <c r="N52" s="39"/>
      <c r="O52" s="267" t="s">
        <v>1629</v>
      </c>
      <c r="P52" s="370"/>
    </row>
    <row r="53" spans="1:16" x14ac:dyDescent="0.2">
      <c r="A53" s="212" t="s">
        <v>188</v>
      </c>
      <c r="B53" s="214" t="s">
        <v>1599</v>
      </c>
      <c r="C53" s="36" t="s">
        <v>1630</v>
      </c>
      <c r="D53" s="39">
        <v>2286.5688931536929</v>
      </c>
      <c r="E53" s="218">
        <v>43197</v>
      </c>
      <c r="F53" s="36">
        <v>7</v>
      </c>
      <c r="G53" s="38">
        <v>0.5</v>
      </c>
      <c r="H53" s="211">
        <v>107005</v>
      </c>
      <c r="I53" s="211">
        <v>231351</v>
      </c>
      <c r="J53" s="36">
        <v>5.29</v>
      </c>
      <c r="K53" s="39">
        <v>2.645</v>
      </c>
      <c r="L53" s="39"/>
      <c r="M53" s="39"/>
      <c r="N53" s="39"/>
      <c r="O53" s="267" t="s">
        <v>1631</v>
      </c>
      <c r="P53" s="370"/>
    </row>
    <row r="54" spans="1:16" x14ac:dyDescent="0.2">
      <c r="A54" s="212" t="s">
        <v>178</v>
      </c>
      <c r="B54" s="36" t="s">
        <v>199</v>
      </c>
      <c r="C54" s="214" t="s">
        <v>1576</v>
      </c>
      <c r="D54" s="39">
        <v>7221.0543558382697</v>
      </c>
      <c r="E54" s="218">
        <v>43255</v>
      </c>
      <c r="F54" s="36">
        <v>4</v>
      </c>
      <c r="G54" s="38">
        <v>1</v>
      </c>
      <c r="H54" s="211">
        <v>33299</v>
      </c>
      <c r="I54" s="211">
        <v>73258</v>
      </c>
      <c r="J54" s="36">
        <v>5.29</v>
      </c>
      <c r="K54" s="39">
        <v>5.29</v>
      </c>
      <c r="L54" s="39"/>
      <c r="M54" s="39"/>
      <c r="N54" s="39"/>
      <c r="O54" s="267" t="s">
        <v>1577</v>
      </c>
      <c r="P54" s="370"/>
    </row>
    <row r="55" spans="1:16" s="401" customFormat="1" x14ac:dyDescent="0.2">
      <c r="A55" s="395" t="s">
        <v>1970</v>
      </c>
      <c r="B55" s="396" t="s">
        <v>1640</v>
      </c>
      <c r="C55" s="117" t="s">
        <v>1971</v>
      </c>
      <c r="D55" s="119">
        <v>5922.9898074745197</v>
      </c>
      <c r="E55" s="397">
        <v>43406</v>
      </c>
      <c r="F55" s="117">
        <v>2</v>
      </c>
      <c r="G55" s="121">
        <v>0.55000000000000004</v>
      </c>
      <c r="H55" s="398">
        <v>35300</v>
      </c>
      <c r="I55" s="398">
        <v>88300</v>
      </c>
      <c r="J55" s="117">
        <v>5.23</v>
      </c>
      <c r="K55" s="119">
        <v>2.8765000000000005</v>
      </c>
      <c r="L55" s="119"/>
      <c r="M55" s="119"/>
      <c r="N55" s="119"/>
      <c r="O55" s="446" t="s">
        <v>1641</v>
      </c>
      <c r="P55" s="448"/>
    </row>
    <row r="56" spans="1:16" x14ac:dyDescent="0.2">
      <c r="A56" s="212" t="s">
        <v>201</v>
      </c>
      <c r="B56" s="214" t="s">
        <v>1567</v>
      </c>
      <c r="C56" s="36" t="s">
        <v>331</v>
      </c>
      <c r="D56" s="39">
        <v>3608.0332409972298</v>
      </c>
      <c r="E56" s="218">
        <v>43318</v>
      </c>
      <c r="F56" s="36">
        <v>6</v>
      </c>
      <c r="G56" s="38">
        <v>0.33</v>
      </c>
      <c r="H56" s="211">
        <v>32100</v>
      </c>
      <c r="I56" s="211">
        <v>144400</v>
      </c>
      <c r="J56" s="36">
        <v>5.21</v>
      </c>
      <c r="K56" s="39">
        <v>1.7193000000000001</v>
      </c>
      <c r="L56" s="39"/>
      <c r="M56" s="39"/>
      <c r="N56" s="39"/>
      <c r="O56" s="267" t="s">
        <v>1569</v>
      </c>
      <c r="P56" s="370"/>
    </row>
    <row r="57" spans="1:16" x14ac:dyDescent="0.2">
      <c r="A57" s="219" t="s">
        <v>1645</v>
      </c>
      <c r="B57" s="40" t="s">
        <v>1644</v>
      </c>
      <c r="C57" s="214" t="s">
        <v>1643</v>
      </c>
      <c r="D57" s="39">
        <v>3121.563836285889</v>
      </c>
      <c r="E57" s="218">
        <v>43284</v>
      </c>
      <c r="F57" s="36">
        <v>3</v>
      </c>
      <c r="G57" s="38">
        <v>1</v>
      </c>
      <c r="H57" s="211">
        <v>63000</v>
      </c>
      <c r="I57" s="211">
        <v>163700</v>
      </c>
      <c r="J57" s="36">
        <v>5.1100000000000003</v>
      </c>
      <c r="K57" s="39">
        <v>5.1100000000000003</v>
      </c>
      <c r="L57" s="39"/>
      <c r="M57" s="39"/>
      <c r="N57" s="39"/>
      <c r="O57" s="267" t="s">
        <v>1932</v>
      </c>
      <c r="P57" s="369" t="s">
        <v>1646</v>
      </c>
    </row>
    <row r="58" spans="1:16" x14ac:dyDescent="0.2">
      <c r="A58" s="212" t="s">
        <v>201</v>
      </c>
      <c r="B58" s="36" t="s">
        <v>301</v>
      </c>
      <c r="C58" s="36" t="s">
        <v>330</v>
      </c>
      <c r="D58" s="39">
        <v>2696.3906581740976</v>
      </c>
      <c r="E58" s="218">
        <v>43317</v>
      </c>
      <c r="F58" s="36">
        <v>5</v>
      </c>
      <c r="G58" s="38">
        <v>0.33</v>
      </c>
      <c r="H58" s="211">
        <v>31400</v>
      </c>
      <c r="I58" s="211">
        <v>188400</v>
      </c>
      <c r="J58" s="36">
        <v>5.08</v>
      </c>
      <c r="K58" s="39">
        <v>1.6764000000000001</v>
      </c>
      <c r="L58" s="39"/>
      <c r="M58" s="39"/>
      <c r="N58" s="39"/>
      <c r="O58" s="267" t="s">
        <v>1569</v>
      </c>
      <c r="P58" s="370"/>
    </row>
    <row r="59" spans="1:16" x14ac:dyDescent="0.2">
      <c r="A59" s="212" t="s">
        <v>188</v>
      </c>
      <c r="B59" s="36" t="s">
        <v>282</v>
      </c>
      <c r="C59" s="36" t="s">
        <v>297</v>
      </c>
      <c r="D59" s="39">
        <v>1923.0020631398656</v>
      </c>
      <c r="E59" s="218">
        <v>43195</v>
      </c>
      <c r="F59" s="36">
        <v>5</v>
      </c>
      <c r="G59" s="38">
        <v>0.5</v>
      </c>
      <c r="H59" s="211">
        <v>124632</v>
      </c>
      <c r="I59" s="211">
        <v>256890</v>
      </c>
      <c r="J59" s="36">
        <v>4.9400000000000004</v>
      </c>
      <c r="K59" s="39">
        <v>2.4700000000000002</v>
      </c>
      <c r="L59" s="39"/>
      <c r="M59" s="39"/>
      <c r="N59" s="39"/>
      <c r="O59" s="267" t="s">
        <v>1631</v>
      </c>
      <c r="P59" s="370"/>
    </row>
    <row r="60" spans="1:16" x14ac:dyDescent="0.2">
      <c r="A60" s="212" t="s">
        <v>292</v>
      </c>
      <c r="B60" s="214" t="s">
        <v>1668</v>
      </c>
      <c r="C60" s="214" t="s">
        <v>1937</v>
      </c>
      <c r="D60" s="39">
        <v>1456.6359187873131</v>
      </c>
      <c r="E60" s="218">
        <v>43169</v>
      </c>
      <c r="F60" s="36">
        <v>13</v>
      </c>
      <c r="G60" s="38">
        <v>1</v>
      </c>
      <c r="H60" s="211">
        <v>83583</v>
      </c>
      <c r="I60" s="211">
        <v>334332</v>
      </c>
      <c r="J60" s="36">
        <v>4.87</v>
      </c>
      <c r="K60" s="39">
        <v>2.3862999999999999</v>
      </c>
      <c r="L60" s="39"/>
      <c r="M60" s="39"/>
      <c r="N60" s="39"/>
      <c r="O60" s="267" t="s">
        <v>1935</v>
      </c>
      <c r="P60" s="369" t="s">
        <v>1669</v>
      </c>
    </row>
    <row r="61" spans="1:16" s="170" customFormat="1" x14ac:dyDescent="0.2">
      <c r="A61" s="442" t="s">
        <v>1959</v>
      </c>
      <c r="B61" s="434" t="s">
        <v>1670</v>
      </c>
      <c r="C61" s="435" t="s">
        <v>1960</v>
      </c>
      <c r="D61" s="436">
        <v>2658.66209262436</v>
      </c>
      <c r="E61" s="437">
        <v>43408</v>
      </c>
      <c r="F61" s="435">
        <v>4</v>
      </c>
      <c r="G61" s="438">
        <v>1</v>
      </c>
      <c r="H61" s="439">
        <v>70000</v>
      </c>
      <c r="I61" s="439">
        <v>174900</v>
      </c>
      <c r="J61" s="435">
        <v>4.6500000000000004</v>
      </c>
      <c r="K61" s="436">
        <v>4.6500000000000004</v>
      </c>
      <c r="L61" s="436"/>
      <c r="M61" s="436"/>
      <c r="N61" s="436"/>
      <c r="O61" s="440" t="s">
        <v>1931</v>
      </c>
      <c r="P61" s="444" t="s">
        <v>1671</v>
      </c>
    </row>
    <row r="62" spans="1:16" x14ac:dyDescent="0.2">
      <c r="A62" s="212" t="s">
        <v>290</v>
      </c>
      <c r="B62" s="214" t="s">
        <v>1674</v>
      </c>
      <c r="C62" s="214" t="s">
        <v>1672</v>
      </c>
      <c r="D62" s="39">
        <v>5974.9920861031969</v>
      </c>
      <c r="E62" s="218">
        <v>43161</v>
      </c>
      <c r="F62" s="36">
        <v>5</v>
      </c>
      <c r="G62" s="38">
        <v>0.5</v>
      </c>
      <c r="H62" s="211">
        <v>63180</v>
      </c>
      <c r="I62" s="211">
        <v>75816</v>
      </c>
      <c r="J62" s="36">
        <v>4.53</v>
      </c>
      <c r="K62" s="39">
        <v>2.2650000000000001</v>
      </c>
      <c r="L62" s="39"/>
      <c r="M62" s="39"/>
      <c r="N62" s="39"/>
      <c r="O62" s="371" t="s">
        <v>1675</v>
      </c>
      <c r="P62" s="370"/>
    </row>
    <row r="63" spans="1:16" x14ac:dyDescent="0.2">
      <c r="A63" s="212" t="s">
        <v>188</v>
      </c>
      <c r="B63" s="36" t="s">
        <v>282</v>
      </c>
      <c r="C63" s="36" t="s">
        <v>298</v>
      </c>
      <c r="D63" s="39">
        <v>3317.6791395243145</v>
      </c>
      <c r="E63" s="218">
        <v>43198</v>
      </c>
      <c r="F63" s="36">
        <v>8</v>
      </c>
      <c r="G63" s="38">
        <v>0.5</v>
      </c>
      <c r="H63" s="211">
        <v>102341</v>
      </c>
      <c r="I63" s="211">
        <v>132020</v>
      </c>
      <c r="J63" s="36">
        <v>4.38</v>
      </c>
      <c r="K63" s="39">
        <v>2.19</v>
      </c>
      <c r="L63" s="39"/>
      <c r="M63" s="39"/>
      <c r="N63" s="39"/>
      <c r="O63" s="267" t="s">
        <v>1631</v>
      </c>
      <c r="P63" s="370"/>
    </row>
    <row r="64" spans="1:16" x14ac:dyDescent="0.2">
      <c r="A64" s="212" t="s">
        <v>335</v>
      </c>
      <c r="B64" s="214" t="s">
        <v>1676</v>
      </c>
      <c r="C64" s="36" t="s">
        <v>334</v>
      </c>
      <c r="D64" s="39">
        <v>2507.2716695753338</v>
      </c>
      <c r="E64" s="218">
        <v>43347</v>
      </c>
      <c r="F64" s="36">
        <v>4</v>
      </c>
      <c r="G64" s="38">
        <v>1</v>
      </c>
      <c r="H64" s="211">
        <v>61400</v>
      </c>
      <c r="I64" s="211">
        <v>171900</v>
      </c>
      <c r="J64" s="36">
        <v>4.3099999999999996</v>
      </c>
      <c r="K64" s="39">
        <v>4.3099999999999996</v>
      </c>
      <c r="L64" s="39"/>
      <c r="M64" s="39"/>
      <c r="N64" s="39"/>
      <c r="O64" s="267" t="s">
        <v>1930</v>
      </c>
      <c r="P64" s="369" t="s">
        <v>1677</v>
      </c>
    </row>
    <row r="65" spans="1:16" x14ac:dyDescent="0.2">
      <c r="A65" s="212" t="s">
        <v>206</v>
      </c>
      <c r="B65" s="214" t="s">
        <v>1678</v>
      </c>
      <c r="C65" s="36" t="s">
        <v>340</v>
      </c>
      <c r="D65" s="39">
        <v>3900</v>
      </c>
      <c r="E65" s="218">
        <v>43405</v>
      </c>
      <c r="F65" s="36">
        <v>1</v>
      </c>
      <c r="G65" s="38">
        <v>0.6</v>
      </c>
      <c r="H65" s="211">
        <v>74900</v>
      </c>
      <c r="I65" s="211">
        <v>110000</v>
      </c>
      <c r="J65" s="36">
        <v>4.29</v>
      </c>
      <c r="K65" s="39">
        <v>2.5739999999999998</v>
      </c>
      <c r="L65" s="39"/>
      <c r="M65" s="39"/>
      <c r="N65" s="39"/>
      <c r="O65" s="267" t="s">
        <v>1680</v>
      </c>
      <c r="P65" s="369" t="s">
        <v>1679</v>
      </c>
    </row>
    <row r="66" spans="1:16" x14ac:dyDescent="0.2">
      <c r="A66" s="212" t="s">
        <v>201</v>
      </c>
      <c r="B66" s="36" t="s">
        <v>301</v>
      </c>
      <c r="C66" s="36" t="s">
        <v>329</v>
      </c>
      <c r="D66" s="39">
        <v>2700.2583979328165</v>
      </c>
      <c r="E66" s="218">
        <v>43316</v>
      </c>
      <c r="F66" s="36">
        <v>4</v>
      </c>
      <c r="G66" s="38">
        <v>0.33</v>
      </c>
      <c r="H66" s="211">
        <v>25800</v>
      </c>
      <c r="I66" s="211">
        <v>154800</v>
      </c>
      <c r="J66" s="36">
        <v>4.18</v>
      </c>
      <c r="K66" s="39">
        <v>1.3794</v>
      </c>
      <c r="L66" s="39"/>
      <c r="M66" s="39"/>
      <c r="N66" s="39"/>
      <c r="O66" s="267" t="s">
        <v>1569</v>
      </c>
      <c r="P66" s="370"/>
    </row>
    <row r="67" spans="1:16" x14ac:dyDescent="0.2">
      <c r="A67" s="212" t="s">
        <v>201</v>
      </c>
      <c r="B67" s="36" t="s">
        <v>301</v>
      </c>
      <c r="C67" s="36" t="s">
        <v>328</v>
      </c>
      <c r="D67" s="39">
        <v>3596.1027457927371</v>
      </c>
      <c r="E67" s="218">
        <v>43315</v>
      </c>
      <c r="F67" s="36">
        <v>3</v>
      </c>
      <c r="G67" s="38">
        <v>0.33</v>
      </c>
      <c r="H67" s="211">
        <v>25099.999999999996</v>
      </c>
      <c r="I67" s="211">
        <v>112899.99999999999</v>
      </c>
      <c r="J67" s="36">
        <v>4.0599999999999996</v>
      </c>
      <c r="K67" s="39">
        <v>1.3397999999999999</v>
      </c>
      <c r="L67" s="39"/>
      <c r="M67" s="39"/>
      <c r="N67" s="39"/>
      <c r="O67" s="267" t="s">
        <v>1569</v>
      </c>
      <c r="P67" s="370"/>
    </row>
    <row r="68" spans="1:16" x14ac:dyDescent="0.2">
      <c r="A68" s="212" t="s">
        <v>188</v>
      </c>
      <c r="B68" s="36" t="s">
        <v>282</v>
      </c>
      <c r="C68" s="36" t="s">
        <v>1633</v>
      </c>
      <c r="D68" s="39">
        <v>6905.0176461562078</v>
      </c>
      <c r="E68" s="218">
        <v>43261</v>
      </c>
      <c r="F68" s="36">
        <v>10</v>
      </c>
      <c r="G68" s="38">
        <v>0.33</v>
      </c>
      <c r="H68" s="211">
        <v>36658</v>
      </c>
      <c r="I68" s="211">
        <v>58653</v>
      </c>
      <c r="J68" s="36">
        <v>4.05</v>
      </c>
      <c r="K68" s="39">
        <v>1.3365</v>
      </c>
      <c r="L68" s="39"/>
      <c r="M68" s="39"/>
      <c r="N68" s="39"/>
      <c r="O68" s="267" t="s">
        <v>1634</v>
      </c>
      <c r="P68" s="369"/>
    </row>
    <row r="69" spans="1:16" s="401" customFormat="1" x14ac:dyDescent="0.2">
      <c r="A69" s="395" t="s">
        <v>1968</v>
      </c>
      <c r="B69" s="117" t="s">
        <v>1969</v>
      </c>
      <c r="C69" s="396" t="s">
        <v>1681</v>
      </c>
      <c r="D69" s="119">
        <v>3599.0462980590501</v>
      </c>
      <c r="E69" s="397">
        <v>43118</v>
      </c>
      <c r="F69" s="117">
        <v>18</v>
      </c>
      <c r="G69" s="121">
        <v>1</v>
      </c>
      <c r="H69" s="398">
        <v>50140</v>
      </c>
      <c r="I69" s="398">
        <v>110307</v>
      </c>
      <c r="J69" s="117">
        <v>3.97</v>
      </c>
      <c r="K69" s="119">
        <v>3.97</v>
      </c>
      <c r="L69" s="119"/>
      <c r="M69" s="119"/>
      <c r="N69" s="119"/>
      <c r="O69" s="446" t="s">
        <v>1929</v>
      </c>
      <c r="P69" s="400" t="s">
        <v>1682</v>
      </c>
    </row>
    <row r="70" spans="1:16" x14ac:dyDescent="0.2">
      <c r="A70" s="212" t="s">
        <v>277</v>
      </c>
      <c r="B70" s="214" t="s">
        <v>1601</v>
      </c>
      <c r="C70" s="36" t="s">
        <v>276</v>
      </c>
      <c r="D70" s="39">
        <v>3401.7111637975468</v>
      </c>
      <c r="E70" s="218">
        <v>43114</v>
      </c>
      <c r="F70" s="36">
        <v>14</v>
      </c>
      <c r="G70" s="38">
        <v>0.5</v>
      </c>
      <c r="H70" s="211">
        <v>44774</v>
      </c>
      <c r="I70" s="211">
        <v>116412</v>
      </c>
      <c r="J70" s="36">
        <v>3.96</v>
      </c>
      <c r="K70" s="39">
        <v>1.98</v>
      </c>
      <c r="L70" s="39"/>
      <c r="M70" s="39"/>
      <c r="N70" s="39"/>
      <c r="O70" s="267" t="s">
        <v>1684</v>
      </c>
      <c r="P70" s="369" t="s">
        <v>1683</v>
      </c>
    </row>
    <row r="71" spans="1:16" x14ac:dyDescent="0.2">
      <c r="A71" s="209" t="s">
        <v>1685</v>
      </c>
      <c r="B71" s="36" t="s">
        <v>269</v>
      </c>
      <c r="C71" s="36" t="s">
        <v>279</v>
      </c>
      <c r="D71" s="39">
        <v>6719.4452883464082</v>
      </c>
      <c r="E71" s="218">
        <v>43117</v>
      </c>
      <c r="F71" s="36">
        <v>17</v>
      </c>
      <c r="G71" s="38">
        <v>0.45</v>
      </c>
      <c r="H71" s="211">
        <v>25435</v>
      </c>
      <c r="I71" s="211">
        <v>55957</v>
      </c>
      <c r="J71" s="36">
        <v>3.76</v>
      </c>
      <c r="K71" s="39">
        <v>1.6919999999999999</v>
      </c>
      <c r="L71" s="39"/>
      <c r="M71" s="39"/>
      <c r="N71" s="39"/>
      <c r="O71" s="267" t="s">
        <v>1910</v>
      </c>
      <c r="P71" s="369" t="s">
        <v>1686</v>
      </c>
    </row>
    <row r="72" spans="1:16" x14ac:dyDescent="0.2">
      <c r="A72" s="212" t="s">
        <v>188</v>
      </c>
      <c r="B72" s="214" t="s">
        <v>1653</v>
      </c>
      <c r="C72" s="36" t="s">
        <v>274</v>
      </c>
      <c r="D72" s="39">
        <v>4319.4049846395492</v>
      </c>
      <c r="E72" s="218">
        <v>43112</v>
      </c>
      <c r="F72" s="36">
        <v>12</v>
      </c>
      <c r="G72" s="38">
        <v>0.35</v>
      </c>
      <c r="H72" s="211">
        <v>57724</v>
      </c>
      <c r="I72" s="211">
        <v>86586</v>
      </c>
      <c r="J72" s="36">
        <v>3.74</v>
      </c>
      <c r="K72" s="39">
        <v>1.3089999999999999</v>
      </c>
      <c r="L72" s="39"/>
      <c r="M72" s="39"/>
      <c r="N72" s="39"/>
      <c r="O72" s="267" t="s">
        <v>1654</v>
      </c>
      <c r="P72" s="370"/>
    </row>
    <row r="73" spans="1:16" x14ac:dyDescent="0.2">
      <c r="A73" s="212" t="s">
        <v>304</v>
      </c>
      <c r="B73" s="36" t="s">
        <v>305</v>
      </c>
      <c r="C73" s="214" t="s">
        <v>1687</v>
      </c>
      <c r="D73" s="39">
        <v>1720.4558977504926</v>
      </c>
      <c r="E73" s="218">
        <v>43206</v>
      </c>
      <c r="F73" s="36">
        <v>16</v>
      </c>
      <c r="G73" s="38">
        <v>0.51</v>
      </c>
      <c r="H73" s="211">
        <v>99699</v>
      </c>
      <c r="I73" s="211">
        <v>216803</v>
      </c>
      <c r="J73" s="36">
        <v>3.73</v>
      </c>
      <c r="K73" s="39">
        <v>1.9023000000000001</v>
      </c>
      <c r="L73" s="39"/>
      <c r="M73" s="39"/>
      <c r="N73" s="39"/>
      <c r="O73" s="371" t="s">
        <v>1688</v>
      </c>
      <c r="P73" s="369" t="s">
        <v>1689</v>
      </c>
    </row>
    <row r="74" spans="1:16" x14ac:dyDescent="0.2">
      <c r="A74" s="212" t="s">
        <v>290</v>
      </c>
      <c r="B74" s="36" t="s">
        <v>314</v>
      </c>
      <c r="C74" s="36" t="s">
        <v>318</v>
      </c>
      <c r="D74" s="39">
        <v>2581.1312330831265</v>
      </c>
      <c r="E74" s="218">
        <v>43257</v>
      </c>
      <c r="F74" s="36">
        <v>6</v>
      </c>
      <c r="G74" s="38">
        <v>0.51</v>
      </c>
      <c r="H74" s="211">
        <v>71674</v>
      </c>
      <c r="I74" s="211">
        <v>143348</v>
      </c>
      <c r="J74" s="36">
        <v>3.7</v>
      </c>
      <c r="K74" s="39">
        <v>1.8870000000000002</v>
      </c>
      <c r="L74" s="39"/>
      <c r="M74" s="39"/>
      <c r="N74" s="39"/>
      <c r="O74" s="371" t="s">
        <v>1928</v>
      </c>
      <c r="P74" s="369" t="s">
        <v>1673</v>
      </c>
    </row>
    <row r="75" spans="1:16" x14ac:dyDescent="0.2">
      <c r="A75" s="212" t="s">
        <v>148</v>
      </c>
      <c r="B75" s="214" t="s">
        <v>1648</v>
      </c>
      <c r="C75" s="214" t="s">
        <v>1089</v>
      </c>
      <c r="D75" s="39">
        <v>6171.4826775780703</v>
      </c>
      <c r="E75" s="218">
        <v>43101</v>
      </c>
      <c r="F75" s="36">
        <v>1</v>
      </c>
      <c r="G75" s="38">
        <v>0.8</v>
      </c>
      <c r="H75" s="211">
        <v>33796</v>
      </c>
      <c r="I75" s="211">
        <v>59143</v>
      </c>
      <c r="J75" s="36">
        <v>3.65</v>
      </c>
      <c r="K75" s="39">
        <v>2.92</v>
      </c>
      <c r="L75" s="39"/>
      <c r="M75" s="39"/>
      <c r="N75" s="39"/>
      <c r="O75" s="267" t="s">
        <v>1649</v>
      </c>
      <c r="P75" s="370"/>
    </row>
    <row r="76" spans="1:16" x14ac:dyDescent="0.2">
      <c r="A76" s="212" t="s">
        <v>201</v>
      </c>
      <c r="B76" s="36" t="s">
        <v>301</v>
      </c>
      <c r="C76" s="36" t="s">
        <v>300</v>
      </c>
      <c r="D76" s="39">
        <v>2857.9953204252447</v>
      </c>
      <c r="E76" s="218">
        <v>43202</v>
      </c>
      <c r="F76" s="36">
        <v>12</v>
      </c>
      <c r="G76" s="38">
        <v>0.25</v>
      </c>
      <c r="H76" s="211">
        <v>33081</v>
      </c>
      <c r="I76" s="211">
        <v>127362</v>
      </c>
      <c r="J76" s="36">
        <v>3.64</v>
      </c>
      <c r="K76" s="39">
        <v>0.91</v>
      </c>
      <c r="L76" s="39"/>
      <c r="M76" s="39"/>
      <c r="N76" s="39"/>
      <c r="O76" s="267" t="s">
        <v>1927</v>
      </c>
      <c r="P76" s="369" t="s">
        <v>1639</v>
      </c>
    </row>
    <row r="77" spans="1:16" x14ac:dyDescent="0.2">
      <c r="A77" s="212" t="s">
        <v>201</v>
      </c>
      <c r="B77" s="36" t="s">
        <v>301</v>
      </c>
      <c r="C77" s="36" t="s">
        <v>327</v>
      </c>
      <c r="D77" s="39">
        <v>3599.2023928215353</v>
      </c>
      <c r="E77" s="218">
        <v>43314</v>
      </c>
      <c r="F77" s="36">
        <v>2</v>
      </c>
      <c r="G77" s="38">
        <v>0.33</v>
      </c>
      <c r="H77" s="211">
        <v>22300</v>
      </c>
      <c r="I77" s="211">
        <v>100300</v>
      </c>
      <c r="J77" s="36">
        <v>3.61</v>
      </c>
      <c r="K77" s="39">
        <v>1.1913</v>
      </c>
      <c r="L77" s="39"/>
      <c r="M77" s="39"/>
      <c r="N77" s="39"/>
      <c r="O77" s="267" t="s">
        <v>1569</v>
      </c>
      <c r="P77" s="370"/>
    </row>
    <row r="78" spans="1:16" x14ac:dyDescent="0.2">
      <c r="A78" s="212" t="s">
        <v>202</v>
      </c>
      <c r="B78" s="214" t="s">
        <v>1655</v>
      </c>
      <c r="C78" s="214" t="s">
        <v>1695</v>
      </c>
      <c r="D78" s="39">
        <v>10004.426737494467</v>
      </c>
      <c r="E78" s="218">
        <v>43230</v>
      </c>
      <c r="F78" s="36">
        <v>10</v>
      </c>
      <c r="G78" s="38">
        <v>0.5</v>
      </c>
      <c r="H78" s="211">
        <v>15402</v>
      </c>
      <c r="I78" s="211">
        <v>33885</v>
      </c>
      <c r="J78" s="36">
        <v>3.39</v>
      </c>
      <c r="K78" s="39">
        <v>1.6950000000000001</v>
      </c>
      <c r="L78" s="39"/>
      <c r="M78" s="39"/>
      <c r="N78" s="39"/>
      <c r="O78" s="267" t="s">
        <v>1696</v>
      </c>
      <c r="P78" s="370"/>
    </row>
    <row r="79" spans="1:16" s="78" customFormat="1" x14ac:dyDescent="0.2">
      <c r="A79" s="215" t="s">
        <v>1926</v>
      </c>
      <c r="B79" s="216" t="s">
        <v>1692</v>
      </c>
      <c r="C79" s="109" t="s">
        <v>1972</v>
      </c>
      <c r="D79" s="110">
        <v>4343.1635388739996</v>
      </c>
      <c r="E79" s="372">
        <v>43377</v>
      </c>
      <c r="F79" s="109">
        <v>4</v>
      </c>
      <c r="G79" s="112">
        <v>1</v>
      </c>
      <c r="H79" s="217">
        <v>35500</v>
      </c>
      <c r="I79" s="217">
        <v>74600</v>
      </c>
      <c r="J79" s="109">
        <v>3.24</v>
      </c>
      <c r="K79" s="110">
        <v>3.24</v>
      </c>
      <c r="L79" s="110"/>
      <c r="M79" s="110"/>
      <c r="N79" s="110"/>
      <c r="O79" s="373" t="s">
        <v>1694</v>
      </c>
      <c r="P79" s="374" t="s">
        <v>1693</v>
      </c>
    </row>
    <row r="80" spans="1:16" x14ac:dyDescent="0.2">
      <c r="A80" s="212" t="s">
        <v>188</v>
      </c>
      <c r="B80" s="36" t="s">
        <v>282</v>
      </c>
      <c r="C80" s="36" t="s">
        <v>284</v>
      </c>
      <c r="D80" s="39">
        <v>3136.0865559889448</v>
      </c>
      <c r="E80" s="218">
        <v>43137</v>
      </c>
      <c r="F80" s="36">
        <v>6</v>
      </c>
      <c r="G80" s="38">
        <v>0.8</v>
      </c>
      <c r="H80" s="211">
        <v>68025</v>
      </c>
      <c r="I80" s="211">
        <v>102038</v>
      </c>
      <c r="J80" s="36">
        <v>3.2</v>
      </c>
      <c r="K80" s="39">
        <v>2.5600000000000005</v>
      </c>
      <c r="L80" s="39"/>
      <c r="M80" s="39"/>
      <c r="N80" s="39"/>
      <c r="O80" s="267" t="s">
        <v>1636</v>
      </c>
      <c r="P80" s="369" t="s">
        <v>1635</v>
      </c>
    </row>
    <row r="81" spans="1:16" x14ac:dyDescent="0.2">
      <c r="A81" s="212" t="s">
        <v>221</v>
      </c>
      <c r="B81" s="36" t="s">
        <v>299</v>
      </c>
      <c r="C81" s="214" t="s">
        <v>1700</v>
      </c>
      <c r="D81" s="39">
        <v>2211.2831780505494</v>
      </c>
      <c r="E81" s="218">
        <v>43199</v>
      </c>
      <c r="F81" s="36">
        <v>9</v>
      </c>
      <c r="G81" s="38">
        <v>1</v>
      </c>
      <c r="H81" s="211">
        <v>69268</v>
      </c>
      <c r="I81" s="211">
        <v>141999</v>
      </c>
      <c r="J81" s="36">
        <v>3.14</v>
      </c>
      <c r="K81" s="39">
        <v>3.14</v>
      </c>
      <c r="L81" s="39"/>
      <c r="M81" s="39"/>
      <c r="N81" s="39"/>
      <c r="O81" s="371" t="s">
        <v>1702</v>
      </c>
      <c r="P81" s="369" t="s">
        <v>1701</v>
      </c>
    </row>
    <row r="82" spans="1:16" x14ac:dyDescent="0.2">
      <c r="A82" s="212" t="s">
        <v>324</v>
      </c>
      <c r="B82" s="37" t="s">
        <v>325</v>
      </c>
      <c r="C82" s="36" t="s">
        <v>323</v>
      </c>
      <c r="D82" s="39">
        <v>2569.2041522491354</v>
      </c>
      <c r="E82" s="218">
        <v>43285</v>
      </c>
      <c r="F82" s="36">
        <v>4</v>
      </c>
      <c r="G82" s="38">
        <v>1</v>
      </c>
      <c r="H82" s="211">
        <v>44400.000000000007</v>
      </c>
      <c r="I82" s="211">
        <v>115600</v>
      </c>
      <c r="J82" s="36">
        <v>2.97</v>
      </c>
      <c r="K82" s="39">
        <v>2.97</v>
      </c>
      <c r="L82" s="39"/>
      <c r="M82" s="39"/>
      <c r="N82" s="39"/>
      <c r="O82" s="267" t="s">
        <v>1647</v>
      </c>
      <c r="P82" s="370"/>
    </row>
    <row r="83" spans="1:16" x14ac:dyDescent="0.2">
      <c r="A83" s="212" t="s">
        <v>310</v>
      </c>
      <c r="B83" s="36" t="s">
        <v>311</v>
      </c>
      <c r="C83" s="36" t="s">
        <v>309</v>
      </c>
      <c r="D83" s="39">
        <v>1927.9144851081812</v>
      </c>
      <c r="E83" s="218">
        <v>43225</v>
      </c>
      <c r="F83" s="36">
        <v>5</v>
      </c>
      <c r="G83" s="38">
        <v>0.65</v>
      </c>
      <c r="H83" s="211">
        <v>68845</v>
      </c>
      <c r="I83" s="211">
        <v>151459</v>
      </c>
      <c r="J83" s="36">
        <v>2.92</v>
      </c>
      <c r="K83" s="39">
        <v>1.8979999999999999</v>
      </c>
      <c r="L83" s="39"/>
      <c r="M83" s="39"/>
      <c r="N83" s="39"/>
      <c r="O83" s="267" t="s">
        <v>1925</v>
      </c>
      <c r="P83" s="369" t="s">
        <v>1612</v>
      </c>
    </row>
    <row r="84" spans="1:16" x14ac:dyDescent="0.2">
      <c r="A84" s="212" t="s">
        <v>290</v>
      </c>
      <c r="B84" s="214" t="s">
        <v>1697</v>
      </c>
      <c r="C84" s="36" t="s">
        <v>313</v>
      </c>
      <c r="D84" s="39">
        <v>2358.9623899706589</v>
      </c>
      <c r="E84" s="218">
        <v>43252</v>
      </c>
      <c r="F84" s="36">
        <v>1</v>
      </c>
      <c r="G84" s="38">
        <v>0.51</v>
      </c>
      <c r="H84" s="211">
        <v>66669</v>
      </c>
      <c r="I84" s="211">
        <v>119968</v>
      </c>
      <c r="J84" s="36">
        <v>2.83</v>
      </c>
      <c r="K84" s="39">
        <v>1.4433</v>
      </c>
      <c r="L84" s="39"/>
      <c r="M84" s="39"/>
      <c r="N84" s="39"/>
      <c r="O84" s="267" t="s">
        <v>1699</v>
      </c>
      <c r="P84" s="369" t="s">
        <v>1698</v>
      </c>
    </row>
    <row r="85" spans="1:16" x14ac:dyDescent="0.2">
      <c r="A85" s="212" t="s">
        <v>337</v>
      </c>
      <c r="B85" s="214" t="s">
        <v>1703</v>
      </c>
      <c r="C85" s="36" t="s">
        <v>336</v>
      </c>
      <c r="D85" s="39">
        <v>1408.235892221657</v>
      </c>
      <c r="E85" s="218">
        <v>43374</v>
      </c>
      <c r="F85" s="36">
        <v>1</v>
      </c>
      <c r="G85" s="38">
        <v>0.55000000000000004</v>
      </c>
      <c r="H85" s="211">
        <v>119200</v>
      </c>
      <c r="I85" s="211">
        <v>196700.00000000003</v>
      </c>
      <c r="J85" s="36">
        <v>2.77</v>
      </c>
      <c r="K85" s="39">
        <v>1.5235000000000001</v>
      </c>
      <c r="L85" s="39"/>
      <c r="M85" s="39"/>
      <c r="N85" s="39"/>
      <c r="O85" s="267" t="s">
        <v>1924</v>
      </c>
      <c r="P85" s="369" t="s">
        <v>1704</v>
      </c>
    </row>
    <row r="86" spans="1:16" x14ac:dyDescent="0.2">
      <c r="A86" s="212" t="s">
        <v>195</v>
      </c>
      <c r="B86" s="210" t="s">
        <v>1480</v>
      </c>
      <c r="C86" s="36" t="s">
        <v>1479</v>
      </c>
      <c r="D86" s="39">
        <v>4652.7777777777783</v>
      </c>
      <c r="E86" s="218">
        <v>43442</v>
      </c>
      <c r="F86" s="36">
        <v>8</v>
      </c>
      <c r="G86" s="38">
        <v>0.35</v>
      </c>
      <c r="H86" s="211">
        <f>5.24*10000</f>
        <v>52400</v>
      </c>
      <c r="I86" s="211">
        <v>57600</v>
      </c>
      <c r="J86" s="36">
        <v>2.68</v>
      </c>
      <c r="K86" s="39">
        <v>0.93799999999999994</v>
      </c>
      <c r="L86" s="39"/>
      <c r="M86" s="39"/>
      <c r="N86" s="39"/>
      <c r="O86" s="267" t="s">
        <v>1690</v>
      </c>
      <c r="P86" s="370"/>
    </row>
    <row r="87" spans="1:16" x14ac:dyDescent="0.2">
      <c r="A87" s="212" t="s">
        <v>183</v>
      </c>
      <c r="B87" s="214" t="s">
        <v>1667</v>
      </c>
      <c r="C87" s="36" t="s">
        <v>271</v>
      </c>
      <c r="D87" s="39">
        <v>2463.5788576773825</v>
      </c>
      <c r="E87" s="218">
        <v>43109</v>
      </c>
      <c r="F87" s="36">
        <v>9</v>
      </c>
      <c r="G87" s="38">
        <v>0.28999999999999998</v>
      </c>
      <c r="H87" s="211">
        <v>43189</v>
      </c>
      <c r="I87" s="211">
        <v>107973</v>
      </c>
      <c r="J87" s="36">
        <v>2.66</v>
      </c>
      <c r="K87" s="39">
        <v>0.77139999999999997</v>
      </c>
      <c r="L87" s="39"/>
      <c r="M87" s="39"/>
      <c r="N87" s="39"/>
      <c r="O87" s="267" t="s">
        <v>1691</v>
      </c>
      <c r="P87" s="370"/>
    </row>
    <row r="88" spans="1:16" s="78" customFormat="1" x14ac:dyDescent="0.2">
      <c r="A88" s="215" t="s">
        <v>1942</v>
      </c>
      <c r="B88" s="109" t="s">
        <v>1943</v>
      </c>
      <c r="C88" s="109" t="s">
        <v>1944</v>
      </c>
      <c r="D88" s="110">
        <v>6043.3373928628871</v>
      </c>
      <c r="E88" s="372">
        <v>43163</v>
      </c>
      <c r="F88" s="109">
        <v>7</v>
      </c>
      <c r="G88" s="112">
        <v>0.16500000000000001</v>
      </c>
      <c r="H88" s="217">
        <v>36266</v>
      </c>
      <c r="I88" s="217">
        <v>43519</v>
      </c>
      <c r="J88" s="109">
        <v>2.63</v>
      </c>
      <c r="K88" s="110">
        <v>0.43395</v>
      </c>
      <c r="L88" s="110"/>
      <c r="M88" s="110"/>
      <c r="N88" s="110"/>
      <c r="O88" s="373" t="s">
        <v>1666</v>
      </c>
      <c r="P88" s="376"/>
    </row>
    <row r="89" spans="1:16" x14ac:dyDescent="0.2">
      <c r="A89" s="212" t="s">
        <v>188</v>
      </c>
      <c r="B89" s="36" t="s">
        <v>282</v>
      </c>
      <c r="C89" s="36" t="s">
        <v>283</v>
      </c>
      <c r="D89" s="39">
        <v>2725.402447559863</v>
      </c>
      <c r="E89" s="218">
        <v>43135</v>
      </c>
      <c r="F89" s="36">
        <v>4</v>
      </c>
      <c r="G89" s="38">
        <v>0.3</v>
      </c>
      <c r="H89" s="211">
        <v>37719</v>
      </c>
      <c r="I89" s="211">
        <v>94298</v>
      </c>
      <c r="J89" s="36">
        <v>2.57</v>
      </c>
      <c r="K89" s="39">
        <v>0.77099999999999991</v>
      </c>
      <c r="L89" s="39"/>
      <c r="M89" s="39"/>
      <c r="N89" s="39"/>
      <c r="O89" s="267" t="s">
        <v>1637</v>
      </c>
      <c r="P89" s="370"/>
    </row>
    <row r="90" spans="1:16" s="78" customFormat="1" x14ac:dyDescent="0.2">
      <c r="A90" s="215" t="s">
        <v>1942</v>
      </c>
      <c r="B90" s="216" t="s">
        <v>1663</v>
      </c>
      <c r="C90" s="216" t="s">
        <v>1664</v>
      </c>
      <c r="D90" s="110">
        <v>5884.9526645111764</v>
      </c>
      <c r="E90" s="372">
        <v>43162</v>
      </c>
      <c r="F90" s="109">
        <v>6</v>
      </c>
      <c r="G90" s="112">
        <v>0.19500000000000001</v>
      </c>
      <c r="H90" s="217">
        <v>35826</v>
      </c>
      <c r="I90" s="217">
        <v>42991</v>
      </c>
      <c r="J90" s="109">
        <v>2.5299999999999998</v>
      </c>
      <c r="K90" s="110">
        <v>0.49334999999999996</v>
      </c>
      <c r="L90" s="110"/>
      <c r="M90" s="110"/>
      <c r="N90" s="110"/>
      <c r="O90" s="373" t="s">
        <v>1665</v>
      </c>
      <c r="P90" s="376"/>
    </row>
    <row r="91" spans="1:16" x14ac:dyDescent="0.2">
      <c r="A91" s="209" t="s">
        <v>1660</v>
      </c>
      <c r="B91" s="214" t="s">
        <v>1659</v>
      </c>
      <c r="C91" s="214" t="s">
        <v>1658</v>
      </c>
      <c r="D91" s="39">
        <v>2391.7862559794657</v>
      </c>
      <c r="E91" s="218">
        <v>43264</v>
      </c>
      <c r="F91" s="36">
        <v>13</v>
      </c>
      <c r="G91" s="38">
        <v>0.6</v>
      </c>
      <c r="H91" s="211">
        <v>41141</v>
      </c>
      <c r="I91" s="211">
        <v>102852</v>
      </c>
      <c r="J91" s="36">
        <v>2.46</v>
      </c>
      <c r="K91" s="39">
        <v>1.476</v>
      </c>
      <c r="L91" s="39"/>
      <c r="M91" s="39"/>
      <c r="N91" s="39"/>
      <c r="O91" s="267" t="s">
        <v>1661</v>
      </c>
      <c r="P91" s="369" t="s">
        <v>1662</v>
      </c>
    </row>
    <row r="92" spans="1:16" ht="27.75" x14ac:dyDescent="0.2">
      <c r="A92" s="212" t="s">
        <v>202</v>
      </c>
      <c r="B92" s="214" t="s">
        <v>1655</v>
      </c>
      <c r="C92" s="214" t="s">
        <v>1656</v>
      </c>
      <c r="D92" s="39">
        <v>4905.1598913707076</v>
      </c>
      <c r="E92" s="218">
        <v>43203</v>
      </c>
      <c r="F92" s="36">
        <v>13</v>
      </c>
      <c r="G92" s="38">
        <v>0.49</v>
      </c>
      <c r="H92" s="211">
        <v>29688</v>
      </c>
      <c r="I92" s="211">
        <v>47501</v>
      </c>
      <c r="J92" s="36">
        <v>2.33</v>
      </c>
      <c r="K92" s="39">
        <v>1.1416999999999999</v>
      </c>
      <c r="L92" s="39"/>
      <c r="M92" s="39"/>
      <c r="N92" s="39"/>
      <c r="O92" s="371" t="s">
        <v>1886</v>
      </c>
      <c r="P92" s="369" t="s">
        <v>1657</v>
      </c>
    </row>
    <row r="93" spans="1:16" x14ac:dyDescent="0.2">
      <c r="A93" s="212" t="s">
        <v>190</v>
      </c>
      <c r="B93" s="36" t="s">
        <v>320</v>
      </c>
      <c r="C93" s="36" t="s">
        <v>319</v>
      </c>
      <c r="D93" s="39">
        <v>2083.4490805044725</v>
      </c>
      <c r="E93" s="218">
        <v>43258</v>
      </c>
      <c r="F93" s="36">
        <v>7</v>
      </c>
      <c r="G93" s="38">
        <v>0.4</v>
      </c>
      <c r="H93" s="211">
        <v>53997</v>
      </c>
      <c r="I93" s="211">
        <v>107994</v>
      </c>
      <c r="J93" s="36">
        <v>2.25</v>
      </c>
      <c r="K93" s="39">
        <v>0.9</v>
      </c>
      <c r="L93" s="39"/>
      <c r="M93" s="39"/>
      <c r="N93" s="39"/>
      <c r="O93" s="267" t="s">
        <v>1642</v>
      </c>
      <c r="P93" s="370"/>
    </row>
    <row r="94" spans="1:16" x14ac:dyDescent="0.2">
      <c r="A94" s="212" t="s">
        <v>188</v>
      </c>
      <c r="B94" s="214" t="s">
        <v>1653</v>
      </c>
      <c r="C94" s="36" t="s">
        <v>275</v>
      </c>
      <c r="D94" s="39">
        <v>3524.2598182040228</v>
      </c>
      <c r="E94" s="218">
        <v>43113</v>
      </c>
      <c r="F94" s="36">
        <v>13</v>
      </c>
      <c r="G94" s="38">
        <v>0.35</v>
      </c>
      <c r="H94" s="211">
        <v>38211</v>
      </c>
      <c r="I94" s="211">
        <v>57317</v>
      </c>
      <c r="J94" s="36">
        <v>2.02</v>
      </c>
      <c r="K94" s="39">
        <v>0.70699999999999996</v>
      </c>
      <c r="L94" s="39"/>
      <c r="M94" s="39"/>
      <c r="N94" s="39"/>
      <c r="O94" s="267" t="s">
        <v>1654</v>
      </c>
      <c r="P94" s="370"/>
    </row>
    <row r="95" spans="1:16" x14ac:dyDescent="0.2">
      <c r="A95" s="212" t="s">
        <v>148</v>
      </c>
      <c r="B95" s="36" t="s">
        <v>197</v>
      </c>
      <c r="C95" s="36" t="s">
        <v>278</v>
      </c>
      <c r="D95" s="39">
        <v>4520.5326172093546</v>
      </c>
      <c r="E95" s="218">
        <v>43116</v>
      </c>
      <c r="F95" s="36">
        <v>16</v>
      </c>
      <c r="G95" s="38">
        <v>0.7</v>
      </c>
      <c r="H95" s="211">
        <v>17874</v>
      </c>
      <c r="I95" s="211">
        <v>44685</v>
      </c>
      <c r="J95" s="36">
        <v>2.02</v>
      </c>
      <c r="K95" s="39">
        <v>1.4139999999999999</v>
      </c>
      <c r="L95" s="39"/>
      <c r="M95" s="39"/>
      <c r="N95" s="39"/>
      <c r="O95" s="267" t="s">
        <v>1650</v>
      </c>
      <c r="P95" s="370"/>
    </row>
    <row r="96" spans="1:16" x14ac:dyDescent="0.2">
      <c r="A96" s="212" t="s">
        <v>307</v>
      </c>
      <c r="B96" s="214" t="s">
        <v>1651</v>
      </c>
      <c r="C96" s="36" t="s">
        <v>306</v>
      </c>
      <c r="D96" s="39">
        <v>1602.2958268563909</v>
      </c>
      <c r="E96" s="218">
        <v>43223</v>
      </c>
      <c r="F96" s="36">
        <v>3</v>
      </c>
      <c r="G96" s="38">
        <v>0.4</v>
      </c>
      <c r="H96" s="211">
        <v>44484</v>
      </c>
      <c r="I96" s="211">
        <v>125445</v>
      </c>
      <c r="J96" s="36">
        <v>2.0099999999999998</v>
      </c>
      <c r="K96" s="39">
        <v>0.80399999999999994</v>
      </c>
      <c r="L96" s="39"/>
      <c r="M96" s="39"/>
      <c r="N96" s="39"/>
      <c r="O96" s="267" t="s">
        <v>1652</v>
      </c>
      <c r="P96" s="370"/>
    </row>
    <row r="97" spans="1:16" x14ac:dyDescent="0.2">
      <c r="A97" s="212" t="s">
        <v>178</v>
      </c>
      <c r="B97" s="210" t="s">
        <v>1579</v>
      </c>
      <c r="C97" s="214" t="s">
        <v>1578</v>
      </c>
      <c r="D97" s="39">
        <v>3345.7249070631974</v>
      </c>
      <c r="E97" s="218">
        <v>43283</v>
      </c>
      <c r="F97" s="36">
        <v>2</v>
      </c>
      <c r="G97" s="38">
        <v>0.35</v>
      </c>
      <c r="H97" s="211">
        <v>29900.000000000004</v>
      </c>
      <c r="I97" s="211">
        <v>53800</v>
      </c>
      <c r="J97" s="36">
        <v>1.8</v>
      </c>
      <c r="K97" s="39">
        <v>1.8</v>
      </c>
      <c r="L97" s="39"/>
      <c r="M97" s="39"/>
      <c r="N97" s="39"/>
      <c r="O97" s="267" t="s">
        <v>1580</v>
      </c>
      <c r="P97" s="370"/>
    </row>
    <row r="98" spans="1:16" x14ac:dyDescent="0.2">
      <c r="A98" s="212" t="s">
        <v>235</v>
      </c>
      <c r="B98" s="210" t="s">
        <v>1484</v>
      </c>
      <c r="C98" s="214" t="s">
        <v>1483</v>
      </c>
      <c r="D98" s="39">
        <v>2693.5483870967741</v>
      </c>
      <c r="E98" s="218">
        <v>43444</v>
      </c>
      <c r="F98" s="36">
        <v>10</v>
      </c>
      <c r="G98" s="38">
        <v>0.35</v>
      </c>
      <c r="H98" s="211">
        <f>3.65*10000</f>
        <v>36500</v>
      </c>
      <c r="I98" s="211">
        <v>62000</v>
      </c>
      <c r="J98" s="36">
        <v>1.67</v>
      </c>
      <c r="K98" s="39">
        <v>0.83499999999999996</v>
      </c>
      <c r="L98" s="39"/>
      <c r="M98" s="39"/>
      <c r="N98" s="39"/>
      <c r="O98" s="267" t="s">
        <v>1621</v>
      </c>
      <c r="P98" s="369" t="s">
        <v>1620</v>
      </c>
    </row>
    <row r="99" spans="1:16" x14ac:dyDescent="0.2">
      <c r="A99" s="212" t="s">
        <v>165</v>
      </c>
      <c r="B99" s="36" t="s">
        <v>166</v>
      </c>
      <c r="C99" s="214" t="s">
        <v>1618</v>
      </c>
      <c r="D99" s="39">
        <v>1077.3104943508531</v>
      </c>
      <c r="E99" s="218">
        <v>43265</v>
      </c>
      <c r="F99" s="36">
        <v>14</v>
      </c>
      <c r="G99" s="38">
        <v>0.51</v>
      </c>
      <c r="H99" s="211">
        <v>59407</v>
      </c>
      <c r="I99" s="211">
        <v>148518</v>
      </c>
      <c r="J99" s="36">
        <v>1.6</v>
      </c>
      <c r="K99" s="39">
        <v>0.81600000000000006</v>
      </c>
      <c r="L99" s="39"/>
      <c r="M99" s="39"/>
      <c r="N99" s="39"/>
      <c r="O99" s="371" t="s">
        <v>1923</v>
      </c>
      <c r="P99" s="369" t="s">
        <v>1619</v>
      </c>
    </row>
    <row r="100" spans="1:16" s="78" customFormat="1" x14ac:dyDescent="0.2">
      <c r="A100" s="215" t="s">
        <v>1973</v>
      </c>
      <c r="B100" s="109" t="s">
        <v>1974</v>
      </c>
      <c r="C100" s="216" t="s">
        <v>1583</v>
      </c>
      <c r="D100" s="110">
        <v>692.76372760175002</v>
      </c>
      <c r="E100" s="372">
        <v>43166</v>
      </c>
      <c r="F100" s="109">
        <v>10</v>
      </c>
      <c r="G100" s="112">
        <v>1</v>
      </c>
      <c r="H100" s="217">
        <v>107231</v>
      </c>
      <c r="I100" s="217">
        <v>225185</v>
      </c>
      <c r="J100" s="109">
        <v>1.56</v>
      </c>
      <c r="K100" s="110">
        <v>1.56</v>
      </c>
      <c r="L100" s="110"/>
      <c r="M100" s="110"/>
      <c r="N100" s="110"/>
      <c r="O100" s="373" t="s">
        <v>1584</v>
      </c>
      <c r="P100" s="376"/>
    </row>
    <row r="101" spans="1:16" x14ac:dyDescent="0.2">
      <c r="A101" s="212" t="s">
        <v>169</v>
      </c>
      <c r="B101" s="36" t="s">
        <v>205</v>
      </c>
      <c r="C101" s="36" t="s">
        <v>1616</v>
      </c>
      <c r="D101" s="39">
        <v>1285.7106122553935</v>
      </c>
      <c r="E101" s="218">
        <v>43136</v>
      </c>
      <c r="F101" s="36">
        <v>5</v>
      </c>
      <c r="G101" s="38">
        <v>0.51</v>
      </c>
      <c r="H101" s="211">
        <v>33334</v>
      </c>
      <c r="I101" s="211">
        <v>116667</v>
      </c>
      <c r="J101" s="36">
        <v>1.5</v>
      </c>
      <c r="K101" s="39">
        <v>0.76500000000000001</v>
      </c>
      <c r="L101" s="39"/>
      <c r="M101" s="39"/>
      <c r="N101" s="39"/>
      <c r="O101" s="267" t="s">
        <v>1617</v>
      </c>
      <c r="P101" s="370"/>
    </row>
    <row r="102" spans="1:16" x14ac:dyDescent="0.2">
      <c r="A102" s="209" t="s">
        <v>1614</v>
      </c>
      <c r="B102" s="214" t="s">
        <v>1613</v>
      </c>
      <c r="C102" s="36" t="s">
        <v>291</v>
      </c>
      <c r="D102" s="39">
        <v>2701.0966452379666</v>
      </c>
      <c r="E102" s="218">
        <v>43165</v>
      </c>
      <c r="F102" s="36">
        <v>9</v>
      </c>
      <c r="G102" s="38">
        <v>1</v>
      </c>
      <c r="H102" s="211">
        <v>30852</v>
      </c>
      <c r="I102" s="211">
        <v>55533</v>
      </c>
      <c r="J102" s="36">
        <v>1.5</v>
      </c>
      <c r="K102" s="39">
        <v>1.5</v>
      </c>
      <c r="L102" s="39"/>
      <c r="M102" s="39"/>
      <c r="N102" s="39"/>
      <c r="O102" s="267" t="s">
        <v>1615</v>
      </c>
      <c r="P102" s="370"/>
    </row>
    <row r="103" spans="1:16" x14ac:dyDescent="0.2">
      <c r="A103" s="212" t="s">
        <v>310</v>
      </c>
      <c r="B103" s="214" t="s">
        <v>1611</v>
      </c>
      <c r="C103" s="36" t="s">
        <v>312</v>
      </c>
      <c r="D103" s="39">
        <v>1882.0063824564272</v>
      </c>
      <c r="E103" s="218">
        <v>43226</v>
      </c>
      <c r="F103" s="36">
        <v>6</v>
      </c>
      <c r="G103" s="38">
        <v>0.65</v>
      </c>
      <c r="H103" s="211">
        <v>33330</v>
      </c>
      <c r="I103" s="211">
        <v>73326</v>
      </c>
      <c r="J103" s="36">
        <v>1.38</v>
      </c>
      <c r="K103" s="39">
        <v>0.89699999999999991</v>
      </c>
      <c r="L103" s="39"/>
      <c r="M103" s="39"/>
      <c r="N103" s="39"/>
      <c r="O103" s="267" t="s">
        <v>1922</v>
      </c>
      <c r="P103" s="369" t="s">
        <v>1612</v>
      </c>
    </row>
    <row r="104" spans="1:16" x14ac:dyDescent="0.2">
      <c r="A104" s="212" t="s">
        <v>290</v>
      </c>
      <c r="B104" s="36" t="s">
        <v>303</v>
      </c>
      <c r="C104" s="214" t="s">
        <v>1609</v>
      </c>
      <c r="D104" s="39">
        <v>1899.3765405248657</v>
      </c>
      <c r="E104" s="218">
        <v>43205</v>
      </c>
      <c r="F104" s="36">
        <v>15</v>
      </c>
      <c r="G104" s="38">
        <v>0.65</v>
      </c>
      <c r="H104" s="211">
        <v>45980</v>
      </c>
      <c r="I104" s="211">
        <v>68970</v>
      </c>
      <c r="J104" s="36">
        <v>1.31</v>
      </c>
      <c r="K104" s="39">
        <v>0.85150000000000003</v>
      </c>
      <c r="L104" s="39"/>
      <c r="M104" s="39"/>
      <c r="N104" s="39"/>
      <c r="O104" s="267" t="s">
        <v>1610</v>
      </c>
      <c r="P104" s="370"/>
    </row>
    <row r="105" spans="1:16" x14ac:dyDescent="0.2">
      <c r="A105" s="212" t="s">
        <v>169</v>
      </c>
      <c r="B105" s="210" t="s">
        <v>660</v>
      </c>
      <c r="C105" s="214" t="s">
        <v>1485</v>
      </c>
      <c r="D105" s="39">
        <v>765.0926479378362</v>
      </c>
      <c r="E105" s="218">
        <v>43445</v>
      </c>
      <c r="F105" s="36">
        <v>11</v>
      </c>
      <c r="G105" s="38">
        <v>0.35</v>
      </c>
      <c r="H105" s="211">
        <f>4.28*10000</f>
        <v>42800</v>
      </c>
      <c r="I105" s="211">
        <v>167300</v>
      </c>
      <c r="J105" s="36">
        <v>1.28</v>
      </c>
      <c r="K105" s="39">
        <v>0.44799999999999995</v>
      </c>
      <c r="L105" s="39"/>
      <c r="M105" s="39"/>
      <c r="N105" s="39"/>
      <c r="O105" s="267" t="s">
        <v>1921</v>
      </c>
      <c r="P105" s="369"/>
    </row>
    <row r="106" spans="1:16" x14ac:dyDescent="0.2">
      <c r="A106" s="212" t="s">
        <v>322</v>
      </c>
      <c r="B106" s="210" t="s">
        <v>1582</v>
      </c>
      <c r="C106" s="214" t="s">
        <v>1581</v>
      </c>
      <c r="D106" s="39">
        <v>1706.2937062937065</v>
      </c>
      <c r="E106" s="218">
        <v>43282</v>
      </c>
      <c r="F106" s="36">
        <v>1</v>
      </c>
      <c r="G106" s="38">
        <v>1</v>
      </c>
      <c r="H106" s="211">
        <v>65000</v>
      </c>
      <c r="I106" s="211">
        <v>71500</v>
      </c>
      <c r="J106" s="36">
        <v>1.22</v>
      </c>
      <c r="K106" s="39">
        <v>1.22</v>
      </c>
      <c r="L106" s="39"/>
      <c r="M106" s="39"/>
      <c r="N106" s="39"/>
      <c r="O106" s="267" t="s">
        <v>1608</v>
      </c>
      <c r="P106" s="369" t="s">
        <v>1607</v>
      </c>
    </row>
    <row r="107" spans="1:16" x14ac:dyDescent="0.2">
      <c r="A107" s="212" t="s">
        <v>192</v>
      </c>
      <c r="B107" s="214" t="s">
        <v>1606</v>
      </c>
      <c r="C107" s="36" t="s">
        <v>338</v>
      </c>
      <c r="D107" s="39">
        <v>2505.6947608200458</v>
      </c>
      <c r="E107" s="218">
        <v>43375</v>
      </c>
      <c r="F107" s="36">
        <v>2</v>
      </c>
      <c r="G107" s="38">
        <v>1</v>
      </c>
      <c r="H107" s="211">
        <v>18300</v>
      </c>
      <c r="I107" s="211">
        <v>43900</v>
      </c>
      <c r="J107" s="36">
        <v>1.1000000000000001</v>
      </c>
      <c r="K107" s="39">
        <v>1.1000000000000001</v>
      </c>
      <c r="L107" s="39"/>
      <c r="M107" s="39"/>
      <c r="N107" s="39"/>
      <c r="O107" s="267" t="s">
        <v>1920</v>
      </c>
      <c r="P107" s="369"/>
    </row>
    <row r="108" spans="1:16" x14ac:dyDescent="0.2">
      <c r="A108" s="212" t="s">
        <v>195</v>
      </c>
      <c r="B108" s="214" t="s">
        <v>1604</v>
      </c>
      <c r="C108" s="36" t="s">
        <v>1603</v>
      </c>
      <c r="D108" s="39">
        <v>1723.5876157037983</v>
      </c>
      <c r="E108" s="218">
        <v>43268</v>
      </c>
      <c r="F108" s="36">
        <v>17</v>
      </c>
      <c r="G108" s="38">
        <v>0.75</v>
      </c>
      <c r="H108" s="211">
        <v>26662</v>
      </c>
      <c r="I108" s="211">
        <v>62660</v>
      </c>
      <c r="J108" s="36">
        <v>1.08</v>
      </c>
      <c r="K108" s="39">
        <v>0.81</v>
      </c>
      <c r="L108" s="39"/>
      <c r="M108" s="39"/>
      <c r="N108" s="39"/>
      <c r="O108" s="267" t="s">
        <v>1605</v>
      </c>
      <c r="P108" s="370"/>
    </row>
    <row r="109" spans="1:16" x14ac:dyDescent="0.2">
      <c r="A109" s="212" t="s">
        <v>277</v>
      </c>
      <c r="B109" s="214" t="s">
        <v>1601</v>
      </c>
      <c r="C109" s="214" t="s">
        <v>1600</v>
      </c>
      <c r="D109" s="39">
        <v>2988.165680473373</v>
      </c>
      <c r="E109" s="218">
        <v>43221</v>
      </c>
      <c r="F109" s="36">
        <v>1</v>
      </c>
      <c r="G109" s="38">
        <v>1</v>
      </c>
      <c r="H109" s="211">
        <v>13000</v>
      </c>
      <c r="I109" s="211">
        <v>33800</v>
      </c>
      <c r="J109" s="36">
        <v>1.01</v>
      </c>
      <c r="K109" s="39">
        <v>1.01</v>
      </c>
      <c r="L109" s="39"/>
      <c r="M109" s="39"/>
      <c r="N109" s="39"/>
      <c r="O109" s="267" t="s">
        <v>1602</v>
      </c>
      <c r="P109" s="370"/>
    </row>
    <row r="110" spans="1:16" x14ac:dyDescent="0.2">
      <c r="A110" s="212" t="s">
        <v>188</v>
      </c>
      <c r="B110" s="214" t="s">
        <v>1599</v>
      </c>
      <c r="C110" s="36" t="s">
        <v>293</v>
      </c>
      <c r="D110" s="39">
        <v>5048.4052978559121</v>
      </c>
      <c r="E110" s="218">
        <v>43191</v>
      </c>
      <c r="F110" s="36">
        <v>1</v>
      </c>
      <c r="G110" s="38">
        <v>0.4</v>
      </c>
      <c r="H110" s="211">
        <v>11224</v>
      </c>
      <c r="I110" s="211">
        <v>16837</v>
      </c>
      <c r="J110" s="36">
        <v>0.85</v>
      </c>
      <c r="K110" s="39">
        <v>0.34</v>
      </c>
      <c r="L110" s="220">
        <f>I110*10000*11900/100000000</f>
        <v>20036.03</v>
      </c>
      <c r="M110" s="221">
        <f>(L110-J110*10000-(I110*4500/10000)-J110*10000*0.08)</f>
        <v>3279.3799999999992</v>
      </c>
      <c r="N110" s="222">
        <f>M110/L110</f>
        <v>0.16367414103492556</v>
      </c>
      <c r="O110" s="267" t="s">
        <v>1559</v>
      </c>
      <c r="P110" s="369"/>
    </row>
    <row r="111" spans="1:16" x14ac:dyDescent="0.2">
      <c r="A111" s="209" t="s">
        <v>1597</v>
      </c>
      <c r="B111" s="36" t="s">
        <v>269</v>
      </c>
      <c r="C111" s="214" t="s">
        <v>1596</v>
      </c>
      <c r="D111" s="39">
        <v>2246.5753424657532</v>
      </c>
      <c r="E111" s="218">
        <v>43344</v>
      </c>
      <c r="F111" s="36">
        <v>1</v>
      </c>
      <c r="G111" s="38">
        <v>1</v>
      </c>
      <c r="H111" s="211">
        <v>60800</v>
      </c>
      <c r="I111" s="211">
        <v>36500</v>
      </c>
      <c r="J111" s="36">
        <v>0.82</v>
      </c>
      <c r="K111" s="39">
        <v>0.82</v>
      </c>
      <c r="L111" s="39"/>
      <c r="M111" s="39"/>
      <c r="N111" s="39"/>
      <c r="O111" s="267" t="s">
        <v>1598</v>
      </c>
      <c r="P111" s="370"/>
    </row>
    <row r="112" spans="1:16" x14ac:dyDescent="0.2">
      <c r="A112" s="212" t="s">
        <v>188</v>
      </c>
      <c r="B112" s="36" t="s">
        <v>282</v>
      </c>
      <c r="C112" s="36" t="s">
        <v>1594</v>
      </c>
      <c r="D112" s="39">
        <v>1087.1958603985468</v>
      </c>
      <c r="E112" s="218">
        <v>43134</v>
      </c>
      <c r="F112" s="36">
        <v>3</v>
      </c>
      <c r="G112" s="38">
        <v>0.23</v>
      </c>
      <c r="H112" s="211">
        <v>36332</v>
      </c>
      <c r="I112" s="211">
        <v>72664</v>
      </c>
      <c r="J112" s="36">
        <v>0.79</v>
      </c>
      <c r="K112" s="39">
        <v>0.18170000000000003</v>
      </c>
      <c r="L112" s="39"/>
      <c r="M112" s="39"/>
      <c r="N112" s="39"/>
      <c r="O112" s="267" t="s">
        <v>1595</v>
      </c>
      <c r="P112" s="370"/>
    </row>
    <row r="113" spans="1:16" s="78" customFormat="1" x14ac:dyDescent="0.2">
      <c r="A113" s="223" t="s">
        <v>1590</v>
      </c>
      <c r="B113" s="109" t="s">
        <v>1592</v>
      </c>
      <c r="C113" s="109" t="s">
        <v>1593</v>
      </c>
      <c r="D113" s="110">
        <v>881.27761435767957</v>
      </c>
      <c r="E113" s="372">
        <v>43263</v>
      </c>
      <c r="F113" s="109">
        <v>12</v>
      </c>
      <c r="G113" s="112">
        <v>1</v>
      </c>
      <c r="H113" s="217">
        <v>36508</v>
      </c>
      <c r="I113" s="217">
        <v>83969</v>
      </c>
      <c r="J113" s="109">
        <v>0.74</v>
      </c>
      <c r="K113" s="110">
        <v>0.74</v>
      </c>
      <c r="L113" s="110"/>
      <c r="M113" s="110"/>
      <c r="N113" s="110"/>
      <c r="O113" s="373" t="s">
        <v>1591</v>
      </c>
      <c r="P113" s="376"/>
    </row>
    <row r="114" spans="1:16" x14ac:dyDescent="0.2">
      <c r="A114" s="212" t="s">
        <v>201</v>
      </c>
      <c r="B114" s="36" t="s">
        <v>273</v>
      </c>
      <c r="C114" s="36" t="s">
        <v>272</v>
      </c>
      <c r="D114" s="39">
        <v>1063.8297872340427</v>
      </c>
      <c r="E114" s="218">
        <v>43110</v>
      </c>
      <c r="F114" s="36">
        <v>10</v>
      </c>
      <c r="G114" s="38">
        <v>0.33</v>
      </c>
      <c r="H114" s="211">
        <v>15668</v>
      </c>
      <c r="I114" s="211">
        <v>47000</v>
      </c>
      <c r="J114" s="36">
        <v>0.5</v>
      </c>
      <c r="K114" s="39">
        <v>0.16500000000000001</v>
      </c>
      <c r="L114" s="39"/>
      <c r="M114" s="39"/>
      <c r="N114" s="39"/>
      <c r="O114" s="267" t="s">
        <v>1589</v>
      </c>
      <c r="P114" s="370"/>
    </row>
    <row r="115" spans="1:16" x14ac:dyDescent="0.2">
      <c r="A115" s="212" t="s">
        <v>333</v>
      </c>
      <c r="B115" s="214" t="s">
        <v>1587</v>
      </c>
      <c r="C115" s="36" t="s">
        <v>1586</v>
      </c>
      <c r="D115" s="39">
        <v>4347.826086956522</v>
      </c>
      <c r="E115" s="218">
        <v>43346</v>
      </c>
      <c r="F115" s="36">
        <v>3</v>
      </c>
      <c r="G115" s="38">
        <v>1</v>
      </c>
      <c r="H115" s="211">
        <v>4700</v>
      </c>
      <c r="I115" s="211">
        <v>11500</v>
      </c>
      <c r="J115" s="36">
        <v>0.5</v>
      </c>
      <c r="K115" s="39">
        <v>0.5</v>
      </c>
      <c r="L115" s="39"/>
      <c r="M115" s="39"/>
      <c r="N115" s="39"/>
      <c r="O115" s="371" t="s">
        <v>1588</v>
      </c>
      <c r="P115" s="370"/>
    </row>
    <row r="116" spans="1:16" x14ac:dyDescent="0.2">
      <c r="A116" s="212" t="s">
        <v>198</v>
      </c>
      <c r="B116" s="214" t="s">
        <v>1585</v>
      </c>
      <c r="C116" s="36" t="s">
        <v>332</v>
      </c>
      <c r="D116" s="39">
        <v>450.98039215686276</v>
      </c>
      <c r="E116" s="218">
        <v>43345</v>
      </c>
      <c r="F116" s="36">
        <v>2</v>
      </c>
      <c r="G116" s="38">
        <v>0.3</v>
      </c>
      <c r="H116" s="211">
        <v>36000</v>
      </c>
      <c r="I116" s="211">
        <v>102000</v>
      </c>
      <c r="J116" s="36">
        <v>0.46</v>
      </c>
      <c r="K116" s="39">
        <v>0.13800000000000001</v>
      </c>
      <c r="L116" s="39"/>
      <c r="M116" s="39"/>
      <c r="N116" s="39"/>
      <c r="O116" s="371" t="s">
        <v>1919</v>
      </c>
      <c r="P116" s="369"/>
    </row>
    <row r="117" spans="1:16" x14ac:dyDescent="0.2">
      <c r="A117" s="224" t="s">
        <v>176</v>
      </c>
      <c r="B117" s="225" t="s">
        <v>177</v>
      </c>
      <c r="C117" s="226" t="s">
        <v>1583</v>
      </c>
      <c r="D117" s="227">
        <v>679.93291328588919</v>
      </c>
      <c r="E117" s="377">
        <v>43167</v>
      </c>
      <c r="F117" s="225">
        <v>11</v>
      </c>
      <c r="G117" s="228">
        <v>1</v>
      </c>
      <c r="H117" s="229">
        <v>15758</v>
      </c>
      <c r="I117" s="229">
        <v>44122</v>
      </c>
      <c r="J117" s="225">
        <v>0.3</v>
      </c>
      <c r="K117" s="227">
        <v>0.3</v>
      </c>
      <c r="L117" s="227"/>
      <c r="M117" s="227"/>
      <c r="N117" s="227"/>
      <c r="O117" s="273" t="s">
        <v>1584</v>
      </c>
      <c r="P117" s="378"/>
    </row>
  </sheetData>
  <autoFilter ref="A1:P117" xr:uid="{7961D07F-3A6C-46D0-A211-7035BE29BDF4}"/>
  <phoneticPr fontId="5" type="noConversion"/>
  <hyperlinks>
    <hyperlink ref="P2" r:id="rId1" xr:uid="{D3609147-7F7A-46D0-9299-EE3768AA3CB5}"/>
    <hyperlink ref="P6" r:id="rId2" xr:uid="{A7E7EC97-4291-4BC2-B60D-1F2B16C9739D}"/>
    <hyperlink ref="P7" r:id="rId3" xr:uid="{B9FEAB83-F732-4F22-A269-4A191DF7563C}"/>
    <hyperlink ref="P9" r:id="rId4" xr:uid="{C72EBE47-74A0-457B-88FB-9E4BC96552FA}"/>
    <hyperlink ref="P12" r:id="rId5" xr:uid="{BD63279D-465F-45FC-8516-9179E39493A2}"/>
    <hyperlink ref="P15" r:id="rId6" xr:uid="{FC318618-AA01-4522-A08D-A958FCD0EB8B}"/>
    <hyperlink ref="P16" r:id="rId7" xr:uid="{6D301FC0-5AF1-4A95-B7E1-A1040D604CCD}"/>
    <hyperlink ref="P17" r:id="rId8" xr:uid="{E2F4D4CD-F671-4CEE-8A81-38822107834F}"/>
    <hyperlink ref="P20" r:id="rId9" xr:uid="{A6A2A580-EC4D-4A60-9413-217E033FA3A3}"/>
    <hyperlink ref="P24" r:id="rId10" xr:uid="{75C07D23-4EC1-4F8C-861A-6235BA40EDEB}"/>
    <hyperlink ref="P26" r:id="rId11" xr:uid="{129FF988-B4C6-4B51-AE3C-2730F70620E8}"/>
    <hyperlink ref="P27" r:id="rId12" xr:uid="{22485F1B-7C84-4C1D-8176-98E289F9CBC8}"/>
    <hyperlink ref="P29" r:id="rId13" xr:uid="{822EB3CB-1E8D-4A4A-AEAB-210BDDA94E11}"/>
    <hyperlink ref="P33" r:id="rId14" xr:uid="{E58034AB-394C-43CE-BAFE-055C97EEA349}"/>
    <hyperlink ref="P34" r:id="rId15" xr:uid="{1E31DB49-0C5C-469E-AEDE-D4E013A828CF}"/>
    <hyperlink ref="P40" r:id="rId16" xr:uid="{C8C8B2A2-1AB9-42D7-B49B-D0161EC8C778}"/>
    <hyperlink ref="P43" r:id="rId17" xr:uid="{4E57909F-6DF6-47B5-8B36-19204D8F247E}"/>
    <hyperlink ref="P44" r:id="rId18" xr:uid="{1973A583-FBC8-400D-9708-8929EFC9D6AA}"/>
    <hyperlink ref="P45" r:id="rId19" xr:uid="{06110BD4-644C-45F8-A13B-BAFFEF6F910C}"/>
    <hyperlink ref="P46" r:id="rId20" xr:uid="{5295935A-92A9-4E9F-8D70-47FF6AAEEAD8}"/>
    <hyperlink ref="P106" r:id="rId21" xr:uid="{2FB6B9D6-C107-4EF9-9A96-FB29CB75CA1F}"/>
    <hyperlink ref="P103" r:id="rId22" xr:uid="{C9D61674-B171-44CD-8EE8-0B5B1FCB777E}"/>
    <hyperlink ref="P83" r:id="rId23" xr:uid="{6506CBAD-C51F-4C07-B09A-8495B66B47E5}"/>
    <hyperlink ref="P99" r:id="rId24" xr:uid="{97F2DE76-4E64-4E35-BCF4-319B4368FF04}"/>
    <hyperlink ref="P98" r:id="rId25" xr:uid="{2BC3A0FA-496C-478C-B8A0-9FED54E7ED91}"/>
    <hyperlink ref="P50" r:id="rId26" xr:uid="{63209A3D-9FB3-4B11-AB27-6D3EFE03B744}"/>
    <hyperlink ref="P51" r:id="rId27" xr:uid="{0EBEBE3F-7E8C-4E6A-9860-D9A94F32D5DE}"/>
    <hyperlink ref="P38" r:id="rId28" xr:uid="{1C804534-84F2-4207-B396-04A41584D0E0}"/>
    <hyperlink ref="P80" r:id="rId29" xr:uid="{F2DD40EC-2E95-4CA0-92AE-281D6EC2BDE5}"/>
    <hyperlink ref="P76" r:id="rId30" xr:uid="{78A6386B-198C-4290-9C24-757E912878F5}"/>
    <hyperlink ref="P57" r:id="rId31" xr:uid="{638BEDA6-7AA8-432F-83B1-2305C2F0BBE1}"/>
    <hyperlink ref="P92" r:id="rId32" xr:uid="{80DD2393-FC0E-4A1E-A14F-B958DC966C5D}"/>
    <hyperlink ref="P91" r:id="rId33" xr:uid="{BB3CF069-9CEB-4B7A-89C3-A06248822F7A}"/>
    <hyperlink ref="P60" r:id="rId34" xr:uid="{2D6EBC0B-F74B-463D-BD26-08BFD37062DE}"/>
    <hyperlink ref="P61" r:id="rId35" xr:uid="{FDBABCA9-5D40-40B0-AE7B-317BE79AC990}"/>
    <hyperlink ref="P74" r:id="rId36" xr:uid="{B8A0F9EC-9005-4365-998F-EB04E65CFCB3}"/>
    <hyperlink ref="P64" r:id="rId37" xr:uid="{BA4EB0A6-B0ED-46A9-9201-445F3DAD4918}"/>
    <hyperlink ref="P65" r:id="rId38" xr:uid="{E99FBFDB-C145-4B08-B8E5-9932E4651342}"/>
    <hyperlink ref="P69" r:id="rId39" xr:uid="{BDACA181-AD21-44E2-B732-E8445E09BB14}"/>
    <hyperlink ref="P70" r:id="rId40" xr:uid="{3B77501B-0A02-409F-B2A4-17564576CFE4}"/>
    <hyperlink ref="P71" r:id="rId41" xr:uid="{40CB08D5-2500-47BD-9ABE-9F21A5D8A201}"/>
    <hyperlink ref="P73" r:id="rId42" xr:uid="{5F41B723-8398-4817-AD04-F44A1643C29D}"/>
    <hyperlink ref="P79" r:id="rId43" xr:uid="{D84D930F-DA0F-4619-9934-3DB4F33EE024}"/>
    <hyperlink ref="P84" r:id="rId44" xr:uid="{69389AB6-E89F-4ECC-AD2F-86FA377CF205}"/>
    <hyperlink ref="P81" r:id="rId45" xr:uid="{1D44CAF3-82A0-4A18-9A4F-BE5D5117951B}"/>
    <hyperlink ref="P85" r:id="rId46" xr:uid="{AF0B3371-93A7-448F-A373-6275B2548FE9}"/>
  </hyperlinks>
  <pageMargins left="0.7" right="0.7" top="0.75" bottom="0.75" header="0.3" footer="0.3"/>
  <pageSetup paperSize="9" orientation="portrait" r:id="rId4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BC55-4D59-4C45-A8B9-CD3DCF87399E}">
  <dimension ref="A1:Q78"/>
  <sheetViews>
    <sheetView zoomScaleNormal="100" workbookViewId="0">
      <pane xSplit="4" ySplit="1" topLeftCell="E55" activePane="bottomRight" state="frozen"/>
      <selection pane="topRight" activeCell="D1" sqref="D1"/>
      <selection pane="bottomLeft" activeCell="A2" sqref="A2"/>
      <selection pane="bottomRight" activeCell="J68" sqref="J68"/>
    </sheetView>
  </sheetViews>
  <sheetFormatPr defaultRowHeight="14.25" x14ac:dyDescent="0.2"/>
  <cols>
    <col min="1" max="1" width="5.5" style="10" hidden="1" customWidth="1"/>
    <col min="2" max="2" width="6.25" style="10" customWidth="1"/>
    <col min="3" max="3" width="10.25" style="42" customWidth="1"/>
    <col min="4" max="4" width="28.75" style="42" customWidth="1"/>
    <col min="5" max="5" width="10.5" style="44" customWidth="1"/>
    <col min="6" max="6" width="10.375" style="41" customWidth="1"/>
    <col min="7" max="7" width="6.125" style="10" hidden="1" customWidth="1"/>
    <col min="8" max="8" width="9.25" style="43" customWidth="1"/>
    <col min="9" max="9" width="9.125" style="10" bestFit="1" customWidth="1"/>
    <col min="10" max="10" width="11.125" style="10" customWidth="1"/>
    <col min="11" max="11" width="8.125" style="10" customWidth="1"/>
    <col min="12" max="14" width="9.125" style="48" customWidth="1"/>
    <col min="15" max="15" width="9.125" style="107" customWidth="1"/>
    <col min="16" max="16" width="48.25" style="42" customWidth="1"/>
    <col min="17" max="17" width="20.75" style="10" customWidth="1"/>
    <col min="18" max="16384" width="9" style="10"/>
  </cols>
  <sheetData>
    <row r="1" spans="1:17" s="34" customFormat="1" ht="28.5" x14ac:dyDescent="0.2">
      <c r="A1" s="34" t="s">
        <v>868</v>
      </c>
      <c r="B1" s="31" t="s">
        <v>155</v>
      </c>
      <c r="C1" s="31" t="s">
        <v>157</v>
      </c>
      <c r="D1" s="31" t="s">
        <v>156</v>
      </c>
      <c r="E1" s="33" t="s">
        <v>161</v>
      </c>
      <c r="F1" s="150" t="s">
        <v>1060</v>
      </c>
      <c r="G1" s="31" t="s">
        <v>154</v>
      </c>
      <c r="H1" s="32" t="s">
        <v>158</v>
      </c>
      <c r="I1" s="31" t="s">
        <v>159</v>
      </c>
      <c r="J1" s="31" t="s">
        <v>160</v>
      </c>
      <c r="K1" s="45" t="s">
        <v>254</v>
      </c>
      <c r="L1" s="46" t="s">
        <v>255</v>
      </c>
      <c r="M1" s="46" t="s">
        <v>843</v>
      </c>
      <c r="N1" s="46" t="s">
        <v>844</v>
      </c>
      <c r="O1" s="105" t="s">
        <v>845</v>
      </c>
      <c r="P1" s="34" t="s">
        <v>568</v>
      </c>
      <c r="Q1" s="34" t="s">
        <v>560</v>
      </c>
    </row>
    <row r="2" spans="1:17" ht="28.5" x14ac:dyDescent="0.2">
      <c r="A2" s="10">
        <v>5</v>
      </c>
      <c r="B2" s="36" t="s">
        <v>167</v>
      </c>
      <c r="C2" s="37" t="s">
        <v>168</v>
      </c>
      <c r="D2" s="37" t="s">
        <v>849</v>
      </c>
      <c r="E2" s="39">
        <f t="shared" ref="E2:E33" si="0">K2/J2*10000</f>
        <v>18830.171635049683</v>
      </c>
      <c r="F2" s="35">
        <v>43525</v>
      </c>
      <c r="G2" s="36">
        <v>1</v>
      </c>
      <c r="H2" s="38">
        <v>1</v>
      </c>
      <c r="I2" s="36">
        <v>6.58</v>
      </c>
      <c r="J2" s="36">
        <f>15.14+7</f>
        <v>22.14</v>
      </c>
      <c r="K2" s="36">
        <v>41.69</v>
      </c>
      <c r="L2" s="47">
        <f t="shared" ref="L2:L33" si="1">K2*H2</f>
        <v>41.69</v>
      </c>
      <c r="M2" s="47">
        <f>J2*10000*40400/100000000</f>
        <v>89.445599999999999</v>
      </c>
      <c r="N2" s="47">
        <f t="shared" ref="N2:N8" si="2">(M2-K2-(J2*4500/10000)-K2*0.08)</f>
        <v>34.4574</v>
      </c>
      <c r="O2" s="106">
        <f t="shared" ref="O2:O26" si="3">N2/M2</f>
        <v>0.38523303549867183</v>
      </c>
      <c r="P2" s="42" t="s">
        <v>1738</v>
      </c>
      <c r="Q2" s="70" t="s">
        <v>850</v>
      </c>
    </row>
    <row r="3" spans="1:17" x14ac:dyDescent="0.2">
      <c r="A3" s="10">
        <v>6</v>
      </c>
      <c r="B3" s="36" t="s">
        <v>169</v>
      </c>
      <c r="C3" s="37" t="s">
        <v>170</v>
      </c>
      <c r="D3" s="40" t="s">
        <v>851</v>
      </c>
      <c r="E3" s="39">
        <f t="shared" si="0"/>
        <v>6885.3695324283572</v>
      </c>
      <c r="F3" s="35">
        <v>43526</v>
      </c>
      <c r="G3" s="36">
        <v>2</v>
      </c>
      <c r="H3" s="38">
        <v>1</v>
      </c>
      <c r="I3" s="36">
        <v>15.43</v>
      </c>
      <c r="J3" s="36">
        <f>50.44+2.6</f>
        <v>53.04</v>
      </c>
      <c r="K3" s="36">
        <v>36.520000000000003</v>
      </c>
      <c r="L3" s="47">
        <f t="shared" si="1"/>
        <v>36.520000000000003</v>
      </c>
      <c r="M3" s="47">
        <f>J3*10000*18000/100000000</f>
        <v>95.471999999999994</v>
      </c>
      <c r="N3" s="47">
        <f t="shared" si="2"/>
        <v>32.162399999999991</v>
      </c>
      <c r="O3" s="106">
        <f t="shared" si="3"/>
        <v>0.33687782805429856</v>
      </c>
      <c r="P3" s="42" t="s">
        <v>1739</v>
      </c>
      <c r="Q3" s="70" t="s">
        <v>852</v>
      </c>
    </row>
    <row r="4" spans="1:17" x14ac:dyDescent="0.2">
      <c r="A4" s="10">
        <v>46</v>
      </c>
      <c r="B4" s="36" t="s">
        <v>167</v>
      </c>
      <c r="C4" s="37" t="s">
        <v>168</v>
      </c>
      <c r="D4" s="37" t="s">
        <v>248</v>
      </c>
      <c r="E4" s="39">
        <f t="shared" si="0"/>
        <v>11506.912442396313</v>
      </c>
      <c r="F4" s="35">
        <v>43712</v>
      </c>
      <c r="G4" s="36">
        <v>4</v>
      </c>
      <c r="H4" s="38">
        <v>1</v>
      </c>
      <c r="I4" s="36">
        <v>6.39</v>
      </c>
      <c r="J4" s="36">
        <f>14.7+7</f>
        <v>21.7</v>
      </c>
      <c r="K4" s="36">
        <v>24.97</v>
      </c>
      <c r="L4" s="47">
        <f t="shared" si="1"/>
        <v>24.97</v>
      </c>
      <c r="M4" s="47">
        <f>J4*10000*33000/100000000</f>
        <v>71.61</v>
      </c>
      <c r="N4" s="47">
        <f t="shared" si="2"/>
        <v>34.877400000000002</v>
      </c>
      <c r="O4" s="106">
        <f t="shared" si="3"/>
        <v>0.48704650188521159</v>
      </c>
      <c r="P4" s="42" t="s">
        <v>1753</v>
      </c>
      <c r="Q4" s="70" t="s">
        <v>869</v>
      </c>
    </row>
    <row r="5" spans="1:17" x14ac:dyDescent="0.2">
      <c r="A5" s="10">
        <v>28</v>
      </c>
      <c r="B5" s="36" t="s">
        <v>178</v>
      </c>
      <c r="C5" s="37" t="s">
        <v>199</v>
      </c>
      <c r="D5" s="37" t="s">
        <v>874</v>
      </c>
      <c r="E5" s="39">
        <f t="shared" si="0"/>
        <v>5288.3569096844394</v>
      </c>
      <c r="F5" s="35">
        <v>43647</v>
      </c>
      <c r="G5" s="36">
        <v>1</v>
      </c>
      <c r="H5" s="38">
        <v>0.4</v>
      </c>
      <c r="I5" s="36">
        <v>15.74</v>
      </c>
      <c r="J5" s="36">
        <f>26.76+10</f>
        <v>36.760000000000005</v>
      </c>
      <c r="K5" s="36">
        <v>19.440000000000001</v>
      </c>
      <c r="L5" s="47">
        <f t="shared" si="1"/>
        <v>7.7760000000000007</v>
      </c>
      <c r="M5" s="47">
        <f>J5*10000*16000/100000000</f>
        <v>58.81600000000001</v>
      </c>
      <c r="N5" s="47">
        <f t="shared" si="2"/>
        <v>21.278800000000004</v>
      </c>
      <c r="O5" s="106">
        <f t="shared" si="3"/>
        <v>0.36178590859630033</v>
      </c>
      <c r="P5" s="42" t="s">
        <v>1709</v>
      </c>
      <c r="Q5" s="70" t="s">
        <v>877</v>
      </c>
    </row>
    <row r="6" spans="1:17" x14ac:dyDescent="0.2">
      <c r="A6" s="10">
        <v>29</v>
      </c>
      <c r="B6" s="36" t="s">
        <v>178</v>
      </c>
      <c r="C6" s="37" t="s">
        <v>179</v>
      </c>
      <c r="D6" s="37" t="s">
        <v>876</v>
      </c>
      <c r="E6" s="39">
        <f t="shared" si="0"/>
        <v>7608.8709677419356</v>
      </c>
      <c r="F6" s="35">
        <v>43648</v>
      </c>
      <c r="G6" s="36">
        <v>2</v>
      </c>
      <c r="H6" s="38">
        <v>0.4</v>
      </c>
      <c r="I6" s="36">
        <v>9.89</v>
      </c>
      <c r="J6" s="36">
        <f>17.8+7</f>
        <v>24.8</v>
      </c>
      <c r="K6" s="36">
        <v>18.87</v>
      </c>
      <c r="L6" s="47">
        <f t="shared" si="1"/>
        <v>7.5480000000000009</v>
      </c>
      <c r="M6" s="47">
        <f>J6*10000*20500/100000000</f>
        <v>50.84</v>
      </c>
      <c r="N6" s="47">
        <f t="shared" si="2"/>
        <v>19.300400000000003</v>
      </c>
      <c r="O6" s="106">
        <f t="shared" si="3"/>
        <v>0.37963021243115663</v>
      </c>
      <c r="P6" s="42" t="s">
        <v>1710</v>
      </c>
      <c r="Q6" s="70" t="s">
        <v>878</v>
      </c>
    </row>
    <row r="7" spans="1:17" s="358" customFormat="1" ht="28.5" x14ac:dyDescent="0.2">
      <c r="A7" s="358">
        <v>17</v>
      </c>
      <c r="B7" s="359" t="s">
        <v>186</v>
      </c>
      <c r="C7" s="360" t="s">
        <v>187</v>
      </c>
      <c r="D7" s="360" t="s">
        <v>861</v>
      </c>
      <c r="E7" s="361">
        <f>K7/J7*10000</f>
        <v>11864.516129032259</v>
      </c>
      <c r="F7" s="362">
        <v>43588</v>
      </c>
      <c r="G7" s="359">
        <v>3</v>
      </c>
      <c r="H7" s="363">
        <v>1</v>
      </c>
      <c r="I7" s="359">
        <v>5</v>
      </c>
      <c r="J7" s="359">
        <f>11.5+4</f>
        <v>15.5</v>
      </c>
      <c r="K7" s="359">
        <v>18.39</v>
      </c>
      <c r="L7" s="364">
        <f t="shared" si="1"/>
        <v>18.39</v>
      </c>
      <c r="M7" s="364">
        <f>J7*10000*25500/100000000</f>
        <v>39.524999999999999</v>
      </c>
      <c r="N7" s="364">
        <f t="shared" si="2"/>
        <v>12.688799999999999</v>
      </c>
      <c r="O7" s="365">
        <f t="shared" si="3"/>
        <v>0.32103225806451613</v>
      </c>
      <c r="P7" s="366" t="s">
        <v>863</v>
      </c>
      <c r="Q7" s="367" t="s">
        <v>866</v>
      </c>
    </row>
    <row r="8" spans="1:17" ht="28.5" x14ac:dyDescent="0.2">
      <c r="A8" s="10">
        <v>19</v>
      </c>
      <c r="B8" s="36" t="s">
        <v>190</v>
      </c>
      <c r="C8" s="37" t="s">
        <v>191</v>
      </c>
      <c r="D8" s="37" t="s">
        <v>862</v>
      </c>
      <c r="E8" s="39">
        <f t="shared" si="0"/>
        <v>6631.9583500200242</v>
      </c>
      <c r="F8" s="35">
        <v>43590</v>
      </c>
      <c r="G8" s="36">
        <v>5</v>
      </c>
      <c r="H8" s="38">
        <v>0.5</v>
      </c>
      <c r="I8" s="36">
        <v>7.99</v>
      </c>
      <c r="J8" s="36">
        <f>19.97+5</f>
        <v>24.97</v>
      </c>
      <c r="K8" s="36">
        <v>16.559999999999999</v>
      </c>
      <c r="L8" s="47">
        <f t="shared" si="1"/>
        <v>8.2799999999999994</v>
      </c>
      <c r="M8" s="47">
        <f>J8*10000*16000/100000000</f>
        <v>39.951999999999998</v>
      </c>
      <c r="N8" s="47">
        <f t="shared" si="2"/>
        <v>10.8307</v>
      </c>
      <c r="O8" s="106">
        <f t="shared" si="3"/>
        <v>0.27109281137364838</v>
      </c>
      <c r="P8" s="42" t="s">
        <v>1743</v>
      </c>
      <c r="Q8" s="70" t="s">
        <v>569</v>
      </c>
    </row>
    <row r="9" spans="1:17" ht="28.5" x14ac:dyDescent="0.2">
      <c r="A9" s="10">
        <v>2</v>
      </c>
      <c r="B9" s="36" t="s">
        <v>146</v>
      </c>
      <c r="C9" s="37" t="s">
        <v>163</v>
      </c>
      <c r="D9" s="37" t="s">
        <v>847</v>
      </c>
      <c r="E9" s="39">
        <f t="shared" si="0"/>
        <v>2991.3240286684268</v>
      </c>
      <c r="F9" s="35">
        <v>43466</v>
      </c>
      <c r="G9" s="36">
        <v>2</v>
      </c>
      <c r="H9" s="38">
        <v>0.8</v>
      </c>
      <c r="I9" s="36">
        <v>16.010000000000002</v>
      </c>
      <c r="J9" s="36">
        <f>40.02+13</f>
        <v>53.02</v>
      </c>
      <c r="K9" s="36">
        <v>15.86</v>
      </c>
      <c r="L9" s="47">
        <f t="shared" si="1"/>
        <v>12.688000000000001</v>
      </c>
      <c r="M9" s="47">
        <f>J9*10000*8900/100000000</f>
        <v>47.187800000000003</v>
      </c>
      <c r="N9" s="47">
        <f>(M9-K9-(J9*3000/10000)-K9*0.08)</f>
        <v>14.153000000000002</v>
      </c>
      <c r="O9" s="106">
        <f t="shared" si="3"/>
        <v>0.29992921899304487</v>
      </c>
      <c r="P9" s="42" t="s">
        <v>1736</v>
      </c>
      <c r="Q9" s="70" t="s">
        <v>848</v>
      </c>
    </row>
    <row r="10" spans="1:17" s="108" customFormat="1" ht="28.5" x14ac:dyDescent="0.2">
      <c r="A10" s="10">
        <v>67</v>
      </c>
      <c r="B10" s="36" t="s">
        <v>198</v>
      </c>
      <c r="C10" s="37" t="s">
        <v>233</v>
      </c>
      <c r="D10" s="37" t="s">
        <v>252</v>
      </c>
      <c r="E10" s="39">
        <f t="shared" si="0"/>
        <v>4960.0266489007336</v>
      </c>
      <c r="F10" s="35">
        <v>43776</v>
      </c>
      <c r="G10" s="36">
        <v>7</v>
      </c>
      <c r="H10" s="38">
        <v>0.34</v>
      </c>
      <c r="I10" s="36">
        <v>16.82</v>
      </c>
      <c r="J10" s="36">
        <f>25.22+4.8</f>
        <v>30.02</v>
      </c>
      <c r="K10" s="36">
        <v>14.89</v>
      </c>
      <c r="L10" s="47">
        <f t="shared" si="1"/>
        <v>5.0626000000000007</v>
      </c>
      <c r="M10" s="47">
        <f>J10*10000*15000/100000000</f>
        <v>45.03</v>
      </c>
      <c r="N10" s="47">
        <f>(M10-K10-(J10*4000/10000)-K10*0.08)</f>
        <v>16.940800000000003</v>
      </c>
      <c r="O10" s="106">
        <f t="shared" si="3"/>
        <v>0.37621141461248064</v>
      </c>
      <c r="P10" s="42" t="s">
        <v>891</v>
      </c>
      <c r="Q10" s="70" t="s">
        <v>890</v>
      </c>
    </row>
    <row r="11" spans="1:17" x14ac:dyDescent="0.2">
      <c r="A11" s="10">
        <v>18</v>
      </c>
      <c r="B11" s="36" t="s">
        <v>188</v>
      </c>
      <c r="C11" s="37" t="s">
        <v>189</v>
      </c>
      <c r="D11" s="40" t="s">
        <v>864</v>
      </c>
      <c r="E11" s="39">
        <f t="shared" si="0"/>
        <v>6294.040887342323</v>
      </c>
      <c r="F11" s="35">
        <v>43589</v>
      </c>
      <c r="G11" s="36">
        <v>4</v>
      </c>
      <c r="H11" s="38">
        <v>1</v>
      </c>
      <c r="I11" s="36">
        <v>6.66</v>
      </c>
      <c r="J11" s="36">
        <f>15.99+7</f>
        <v>22.990000000000002</v>
      </c>
      <c r="K11" s="36">
        <v>14.47</v>
      </c>
      <c r="L11" s="47">
        <f t="shared" si="1"/>
        <v>14.47</v>
      </c>
      <c r="M11" s="47">
        <f>J11*10000*16000/100000000</f>
        <v>36.784000000000006</v>
      </c>
      <c r="N11" s="47">
        <f>(M11-K11-(J11*4500/10000)-K11*0.08)</f>
        <v>10.810900000000006</v>
      </c>
      <c r="O11" s="106">
        <f t="shared" si="3"/>
        <v>0.29390224010439331</v>
      </c>
      <c r="P11" s="42" t="s">
        <v>1733</v>
      </c>
      <c r="Q11" s="70" t="s">
        <v>865</v>
      </c>
    </row>
    <row r="12" spans="1:17" x14ac:dyDescent="0.2">
      <c r="A12" s="10">
        <v>70</v>
      </c>
      <c r="B12" s="36" t="s">
        <v>235</v>
      </c>
      <c r="C12" s="37" t="s">
        <v>236</v>
      </c>
      <c r="D12" s="37" t="s">
        <v>920</v>
      </c>
      <c r="E12" s="39">
        <f t="shared" si="0"/>
        <v>6563.2318501170976</v>
      </c>
      <c r="F12" s="35">
        <v>43801</v>
      </c>
      <c r="G12" s="36">
        <v>2</v>
      </c>
      <c r="H12" s="38">
        <v>0.16</v>
      </c>
      <c r="I12" s="36">
        <v>7.08</v>
      </c>
      <c r="J12" s="36">
        <v>17.079999999999998</v>
      </c>
      <c r="K12" s="36">
        <v>11.21</v>
      </c>
      <c r="L12" s="47">
        <f t="shared" si="1"/>
        <v>1.7936000000000001</v>
      </c>
      <c r="M12" s="47">
        <f>J12*10000*16500/100000000</f>
        <v>28.181999999999995</v>
      </c>
      <c r="N12" s="47">
        <f>(M12-K12-(J12*4500/10000)-K12*0.08)</f>
        <v>8.3891999999999953</v>
      </c>
      <c r="O12" s="106">
        <f t="shared" si="3"/>
        <v>0.29767936981051724</v>
      </c>
      <c r="P12" s="42" t="s">
        <v>922</v>
      </c>
      <c r="Q12" s="137" t="s">
        <v>921</v>
      </c>
    </row>
    <row r="13" spans="1:17" ht="28.5" x14ac:dyDescent="0.2">
      <c r="A13" s="10">
        <v>15</v>
      </c>
      <c r="B13" s="36" t="s">
        <v>178</v>
      </c>
      <c r="C13" s="37" t="s">
        <v>185</v>
      </c>
      <c r="D13" s="37" t="s">
        <v>914</v>
      </c>
      <c r="E13" s="39">
        <f t="shared" si="0"/>
        <v>3909.5371669004207</v>
      </c>
      <c r="F13" s="35">
        <v>43586</v>
      </c>
      <c r="G13" s="36">
        <v>1</v>
      </c>
      <c r="H13" s="38">
        <v>0.4</v>
      </c>
      <c r="I13" s="36">
        <v>8.9700000000000006</v>
      </c>
      <c r="J13" s="36">
        <f>21.52+7</f>
        <v>28.52</v>
      </c>
      <c r="K13" s="36">
        <v>11.15</v>
      </c>
      <c r="L13" s="47">
        <f t="shared" si="1"/>
        <v>4.46</v>
      </c>
      <c r="M13" s="47">
        <f>J13*10000*13000/100000000</f>
        <v>37.076000000000001</v>
      </c>
      <c r="N13" s="47">
        <f>(M13-K13-(J13*4500/10000)-K13*0.08)</f>
        <v>12.200000000000003</v>
      </c>
      <c r="O13" s="106">
        <f t="shared" si="3"/>
        <v>0.32905383536519589</v>
      </c>
      <c r="P13" s="42" t="s">
        <v>1707</v>
      </c>
      <c r="Q13" s="70" t="s">
        <v>915</v>
      </c>
    </row>
    <row r="14" spans="1:17" x14ac:dyDescent="0.2">
      <c r="A14" s="10">
        <v>24</v>
      </c>
      <c r="B14" s="36" t="s">
        <v>195</v>
      </c>
      <c r="C14" s="37" t="s">
        <v>196</v>
      </c>
      <c r="D14" s="37" t="s">
        <v>885</v>
      </c>
      <c r="E14" s="39">
        <f t="shared" si="0"/>
        <v>10560.83650190114</v>
      </c>
      <c r="F14" s="35">
        <v>43620</v>
      </c>
      <c r="G14" s="36">
        <v>4</v>
      </c>
      <c r="H14" s="38">
        <v>0.5</v>
      </c>
      <c r="I14" s="36">
        <v>5.26</v>
      </c>
      <c r="J14" s="36">
        <v>10.52</v>
      </c>
      <c r="K14" s="36">
        <v>11.11</v>
      </c>
      <c r="L14" s="47">
        <f t="shared" si="1"/>
        <v>5.5549999999999997</v>
      </c>
      <c r="M14" s="47">
        <f>J14*10000*19000/100000000</f>
        <v>19.988</v>
      </c>
      <c r="N14" s="47">
        <f>(M14-K14-(J14*4000/10000)-K14*0.08)</f>
        <v>3.7812000000000001</v>
      </c>
      <c r="O14" s="106">
        <f t="shared" si="3"/>
        <v>0.18917350410246148</v>
      </c>
      <c r="P14" s="42" t="s">
        <v>887</v>
      </c>
      <c r="Q14" s="70" t="s">
        <v>886</v>
      </c>
    </row>
    <row r="15" spans="1:17" ht="28.5" x14ac:dyDescent="0.2">
      <c r="A15" s="10">
        <v>14</v>
      </c>
      <c r="B15" s="36" t="s">
        <v>183</v>
      </c>
      <c r="C15" s="37" t="s">
        <v>184</v>
      </c>
      <c r="D15" s="37" t="s">
        <v>903</v>
      </c>
      <c r="E15" s="39">
        <f t="shared" si="0"/>
        <v>3574.1301059001507</v>
      </c>
      <c r="F15" s="35">
        <v>43557</v>
      </c>
      <c r="G15" s="36">
        <v>2</v>
      </c>
      <c r="H15" s="38">
        <v>0.34</v>
      </c>
      <c r="I15" s="36">
        <v>8.81</v>
      </c>
      <c r="J15" s="36">
        <v>26.44</v>
      </c>
      <c r="K15" s="36">
        <v>9.4499999999999993</v>
      </c>
      <c r="L15" s="47">
        <f t="shared" si="1"/>
        <v>3.2130000000000001</v>
      </c>
      <c r="M15" s="47">
        <f>J15*10000*9700/100000000</f>
        <v>25.646799999999999</v>
      </c>
      <c r="N15" s="47">
        <f>(M15-K15-(J15*4000/10000)-K15*0.08)</f>
        <v>4.8647999999999989</v>
      </c>
      <c r="O15" s="106">
        <f t="shared" si="3"/>
        <v>0.1896844830544161</v>
      </c>
      <c r="P15" s="42" t="s">
        <v>1742</v>
      </c>
      <c r="Q15" s="70" t="s">
        <v>907</v>
      </c>
    </row>
    <row r="16" spans="1:17" s="116" customFormat="1" x14ac:dyDescent="0.2">
      <c r="A16" s="10">
        <v>8</v>
      </c>
      <c r="B16" s="36" t="s">
        <v>173</v>
      </c>
      <c r="C16" s="40" t="s">
        <v>1001</v>
      </c>
      <c r="D16" s="37" t="s">
        <v>854</v>
      </c>
      <c r="E16" s="39">
        <f t="shared" si="0"/>
        <v>17325.800376647836</v>
      </c>
      <c r="F16" s="35">
        <v>43528</v>
      </c>
      <c r="G16" s="36">
        <v>4</v>
      </c>
      <c r="H16" s="38">
        <v>1</v>
      </c>
      <c r="I16" s="36">
        <v>1.75</v>
      </c>
      <c r="J16" s="36">
        <f>3.51+1.8</f>
        <v>5.31</v>
      </c>
      <c r="K16" s="36">
        <v>9.1999999999999993</v>
      </c>
      <c r="L16" s="47">
        <f t="shared" si="1"/>
        <v>9.1999999999999993</v>
      </c>
      <c r="M16" s="47">
        <f>J16*10000*31000/100000000</f>
        <v>16.460999999999999</v>
      </c>
      <c r="N16" s="47">
        <f>(M16-K16-(J16*4500/10000)-K16*0.08)</f>
        <v>4.1354999999999995</v>
      </c>
      <c r="O16" s="106">
        <f t="shared" si="3"/>
        <v>0.25123018042646256</v>
      </c>
      <c r="P16" s="42" t="s">
        <v>857</v>
      </c>
      <c r="Q16" s="70" t="s">
        <v>856</v>
      </c>
    </row>
    <row r="17" spans="1:17" ht="28.5" x14ac:dyDescent="0.2">
      <c r="A17" s="10">
        <v>48</v>
      </c>
      <c r="B17" s="36" t="s">
        <v>195</v>
      </c>
      <c r="C17" s="37" t="s">
        <v>214</v>
      </c>
      <c r="D17" s="37" t="s">
        <v>948</v>
      </c>
      <c r="E17" s="39">
        <f t="shared" si="0"/>
        <v>8017.5438596491231</v>
      </c>
      <c r="F17" s="35">
        <v>43714</v>
      </c>
      <c r="G17" s="36">
        <v>6</v>
      </c>
      <c r="H17" s="38">
        <v>0.4</v>
      </c>
      <c r="I17" s="36">
        <v>6.33</v>
      </c>
      <c r="J17" s="36">
        <v>11.4</v>
      </c>
      <c r="K17" s="36">
        <v>9.14</v>
      </c>
      <c r="L17" s="47">
        <f t="shared" si="1"/>
        <v>3.6560000000000006</v>
      </c>
      <c r="M17" s="47">
        <f>J17*10000*15200/100000000</f>
        <v>17.327999999999999</v>
      </c>
      <c r="N17" s="47">
        <f>(M17-K17-(J17*4000/10000)-K17*0.08)</f>
        <v>2.8967999999999989</v>
      </c>
      <c r="O17" s="106">
        <f t="shared" si="3"/>
        <v>0.16717451523545701</v>
      </c>
      <c r="P17" s="42" t="s">
        <v>950</v>
      </c>
      <c r="Q17" s="70" t="s">
        <v>949</v>
      </c>
    </row>
    <row r="18" spans="1:17" x14ac:dyDescent="0.2">
      <c r="A18" s="10">
        <v>57</v>
      </c>
      <c r="B18" s="36" t="s">
        <v>188</v>
      </c>
      <c r="C18" s="37" t="s">
        <v>189</v>
      </c>
      <c r="D18" s="40" t="s">
        <v>960</v>
      </c>
      <c r="E18" s="39">
        <f t="shared" si="0"/>
        <v>8216.2661737523122</v>
      </c>
      <c r="F18" s="35">
        <v>43744</v>
      </c>
      <c r="G18" s="36">
        <v>6</v>
      </c>
      <c r="H18" s="38">
        <v>0.33</v>
      </c>
      <c r="I18" s="36">
        <v>4.33</v>
      </c>
      <c r="J18" s="36">
        <v>10.82</v>
      </c>
      <c r="K18" s="36">
        <v>8.89</v>
      </c>
      <c r="L18" s="47">
        <f t="shared" si="1"/>
        <v>2.9337000000000004</v>
      </c>
      <c r="M18" s="47">
        <f>J18*10000*16000/100000000</f>
        <v>17.312000000000001</v>
      </c>
      <c r="N18" s="47">
        <f>(M18-K18-(J18*4000/10000)-K18*0.08)</f>
        <v>3.3828000000000005</v>
      </c>
      <c r="O18" s="106">
        <f t="shared" si="3"/>
        <v>0.19540203327171907</v>
      </c>
      <c r="P18" s="42" t="s">
        <v>1734</v>
      </c>
      <c r="Q18" s="70" t="s">
        <v>961</v>
      </c>
    </row>
    <row r="19" spans="1:17" ht="28.5" x14ac:dyDescent="0.2">
      <c r="A19" s="10">
        <v>20</v>
      </c>
      <c r="B19" s="36" t="s">
        <v>192</v>
      </c>
      <c r="C19" s="37" t="s">
        <v>187</v>
      </c>
      <c r="D19" s="37" t="s">
        <v>892</v>
      </c>
      <c r="E19" s="39">
        <f t="shared" si="0"/>
        <v>1939.942802669209</v>
      </c>
      <c r="F19" s="35">
        <v>43591</v>
      </c>
      <c r="G19" s="36">
        <v>6</v>
      </c>
      <c r="H19" s="38">
        <v>0.6</v>
      </c>
      <c r="I19" s="36">
        <v>12.98</v>
      </c>
      <c r="J19" s="36">
        <f>32.46+9.5</f>
        <v>41.96</v>
      </c>
      <c r="K19" s="36">
        <v>8.14</v>
      </c>
      <c r="L19" s="47">
        <f t="shared" si="1"/>
        <v>4.8840000000000003</v>
      </c>
      <c r="M19" s="47">
        <f>J19*10000*7800/100000000</f>
        <v>32.7288</v>
      </c>
      <c r="N19" s="47">
        <f>(M19-K19-(J19*3500/10000)-K19*0.08)</f>
        <v>9.2515999999999998</v>
      </c>
      <c r="O19" s="106">
        <f t="shared" si="3"/>
        <v>0.28267458629708392</v>
      </c>
      <c r="P19" s="42" t="s">
        <v>1744</v>
      </c>
      <c r="Q19" s="70" t="s">
        <v>893</v>
      </c>
    </row>
    <row r="20" spans="1:17" x14ac:dyDescent="0.2">
      <c r="A20" s="108">
        <v>27</v>
      </c>
      <c r="B20" s="109" t="s">
        <v>870</v>
      </c>
      <c r="C20" s="97" t="s">
        <v>871</v>
      </c>
      <c r="D20" s="97" t="s">
        <v>872</v>
      </c>
      <c r="E20" s="110">
        <f t="shared" si="0"/>
        <v>3282.0097244732578</v>
      </c>
      <c r="F20" s="111">
        <v>43623</v>
      </c>
      <c r="G20" s="109">
        <v>7</v>
      </c>
      <c r="H20" s="112">
        <v>1</v>
      </c>
      <c r="I20" s="109">
        <v>9.44</v>
      </c>
      <c r="J20" s="109">
        <f>18.68+6</f>
        <v>24.68</v>
      </c>
      <c r="K20" s="109">
        <v>8.1</v>
      </c>
      <c r="L20" s="113">
        <f t="shared" si="1"/>
        <v>8.1</v>
      </c>
      <c r="M20" s="47">
        <f>J20*10000*7500/100000000</f>
        <v>18.510000000000002</v>
      </c>
      <c r="N20" s="47">
        <f>(M20-K20-(J20*3500/10000)-K20*0.08)</f>
        <v>1.1240000000000019</v>
      </c>
      <c r="O20" s="106">
        <f t="shared" si="3"/>
        <v>6.0723933009184321E-2</v>
      </c>
      <c r="P20" s="114" t="s">
        <v>875</v>
      </c>
      <c r="Q20" s="70" t="s">
        <v>873</v>
      </c>
    </row>
    <row r="21" spans="1:17" x14ac:dyDescent="0.2">
      <c r="A21" s="10">
        <v>47</v>
      </c>
      <c r="B21" s="36" t="s">
        <v>213</v>
      </c>
      <c r="C21" s="37" t="s">
        <v>153</v>
      </c>
      <c r="D21" s="37" t="s">
        <v>249</v>
      </c>
      <c r="E21" s="39">
        <f t="shared" si="0"/>
        <v>3369.283865401208</v>
      </c>
      <c r="F21" s="35">
        <v>43713</v>
      </c>
      <c r="G21" s="36">
        <v>5</v>
      </c>
      <c r="H21" s="38">
        <v>0.6</v>
      </c>
      <c r="I21" s="36">
        <v>7.99</v>
      </c>
      <c r="J21" s="36">
        <f>15.18+8</f>
        <v>23.18</v>
      </c>
      <c r="K21" s="36">
        <v>7.81</v>
      </c>
      <c r="L21" s="47">
        <f t="shared" si="1"/>
        <v>4.6859999999999999</v>
      </c>
      <c r="M21" s="47">
        <f>J21*10000*15000/100000000</f>
        <v>34.770000000000003</v>
      </c>
      <c r="N21" s="47">
        <f>(M21-K21-(J21*4000/10000)-K21*0.08)</f>
        <v>17.063200000000002</v>
      </c>
      <c r="O21" s="106">
        <f t="shared" si="3"/>
        <v>0.49074489502444635</v>
      </c>
      <c r="P21" s="42" t="s">
        <v>895</v>
      </c>
      <c r="Q21" s="70" t="s">
        <v>894</v>
      </c>
    </row>
    <row r="22" spans="1:17" x14ac:dyDescent="0.2">
      <c r="A22" s="10">
        <v>23</v>
      </c>
      <c r="B22" s="36" t="s">
        <v>181</v>
      </c>
      <c r="C22" s="37" t="s">
        <v>194</v>
      </c>
      <c r="D22" s="37" t="s">
        <v>882</v>
      </c>
      <c r="E22" s="39">
        <f t="shared" si="0"/>
        <v>6244.8644207066554</v>
      </c>
      <c r="F22" s="35">
        <v>43619</v>
      </c>
      <c r="G22" s="36">
        <v>3</v>
      </c>
      <c r="H22" s="38">
        <v>0.8</v>
      </c>
      <c r="I22" s="36">
        <v>8.69</v>
      </c>
      <c r="J22" s="36">
        <v>12.17</v>
      </c>
      <c r="K22" s="36">
        <v>7.6</v>
      </c>
      <c r="L22" s="47">
        <f t="shared" si="1"/>
        <v>6.08</v>
      </c>
      <c r="M22" s="47">
        <f>J22*10000*12000/100000000</f>
        <v>14.603999999999999</v>
      </c>
      <c r="N22" s="47">
        <f>(M22-K22-(J22*4000/10000)-K22*0.08)</f>
        <v>1.5279999999999991</v>
      </c>
      <c r="O22" s="106">
        <f t="shared" si="3"/>
        <v>0.1046288688030676</v>
      </c>
      <c r="P22" s="42" t="s">
        <v>1747</v>
      </c>
      <c r="Q22" s="70" t="s">
        <v>942</v>
      </c>
    </row>
    <row r="23" spans="1:17" x14ac:dyDescent="0.2">
      <c r="A23" s="10">
        <v>41</v>
      </c>
      <c r="B23" s="36" t="s">
        <v>208</v>
      </c>
      <c r="C23" s="37" t="s">
        <v>209</v>
      </c>
      <c r="D23" s="37" t="s">
        <v>879</v>
      </c>
      <c r="E23" s="39">
        <f t="shared" si="0"/>
        <v>3650.1714845663892</v>
      </c>
      <c r="F23" s="35">
        <v>43685</v>
      </c>
      <c r="G23" s="36">
        <v>8</v>
      </c>
      <c r="H23" s="38">
        <v>1</v>
      </c>
      <c r="I23" s="36">
        <v>5.96</v>
      </c>
      <c r="J23" s="36">
        <f>14.91+5.5</f>
        <v>20.41</v>
      </c>
      <c r="K23" s="36">
        <v>7.45</v>
      </c>
      <c r="L23" s="47">
        <f t="shared" si="1"/>
        <v>7.45</v>
      </c>
      <c r="M23" s="47">
        <f>J23*10000*9800/100000000</f>
        <v>20.001799999999999</v>
      </c>
      <c r="N23" s="47">
        <f>(M23-K23-(J23*3500/10000)-K23*0.08)</f>
        <v>4.8122999999999996</v>
      </c>
      <c r="O23" s="106">
        <f t="shared" si="3"/>
        <v>0.2405933465988061</v>
      </c>
      <c r="P23" s="42" t="s">
        <v>881</v>
      </c>
      <c r="Q23" s="138" t="s">
        <v>880</v>
      </c>
    </row>
    <row r="24" spans="1:17" x14ac:dyDescent="0.2">
      <c r="A24" s="10">
        <v>22</v>
      </c>
      <c r="B24" s="36" t="s">
        <v>181</v>
      </c>
      <c r="C24" s="37" t="s">
        <v>182</v>
      </c>
      <c r="D24" s="37" t="s">
        <v>243</v>
      </c>
      <c r="E24" s="39">
        <f t="shared" si="0"/>
        <v>5644.6540880503153</v>
      </c>
      <c r="F24" s="35">
        <v>43618</v>
      </c>
      <c r="G24" s="36">
        <v>2</v>
      </c>
      <c r="H24" s="38">
        <v>1</v>
      </c>
      <c r="I24" s="36">
        <v>6.87</v>
      </c>
      <c r="J24" s="36">
        <f>12.02+0.7</f>
        <v>12.719999999999999</v>
      </c>
      <c r="K24" s="36">
        <v>7.18</v>
      </c>
      <c r="L24" s="47">
        <f t="shared" si="1"/>
        <v>7.18</v>
      </c>
      <c r="M24" s="47">
        <f>J24*10000*11000/100000000</f>
        <v>13.991999999999997</v>
      </c>
      <c r="N24" s="47">
        <f>(M24-K24-(J24*4000/10000)-K24*0.08)</f>
        <v>1.1495999999999984</v>
      </c>
      <c r="O24" s="106">
        <f t="shared" si="3"/>
        <v>8.2161234991423568E-2</v>
      </c>
      <c r="P24" s="42" t="s">
        <v>1746</v>
      </c>
      <c r="Q24" s="138" t="s">
        <v>867</v>
      </c>
    </row>
    <row r="25" spans="1:17" x14ac:dyDescent="0.2">
      <c r="A25" s="10">
        <v>25</v>
      </c>
      <c r="B25" s="36" t="s">
        <v>148</v>
      </c>
      <c r="C25" s="37" t="s">
        <v>197</v>
      </c>
      <c r="D25" s="40" t="s">
        <v>945</v>
      </c>
      <c r="E25" s="39">
        <f t="shared" si="0"/>
        <v>4728.522336769759</v>
      </c>
      <c r="F25" s="35">
        <v>43621</v>
      </c>
      <c r="G25" s="36">
        <v>5</v>
      </c>
      <c r="H25" s="38">
        <v>0.5</v>
      </c>
      <c r="I25" s="36">
        <v>5.78</v>
      </c>
      <c r="J25" s="36">
        <f>11.55+3</f>
        <v>14.55</v>
      </c>
      <c r="K25" s="36">
        <v>6.88</v>
      </c>
      <c r="L25" s="47">
        <f t="shared" si="1"/>
        <v>3.44</v>
      </c>
      <c r="M25" s="47">
        <f>J25*10000*12400/100000000</f>
        <v>18.042000000000002</v>
      </c>
      <c r="N25" s="47">
        <f>(M25-K25-(J25*4000/10000)-K25*0.08)</f>
        <v>4.7916000000000025</v>
      </c>
      <c r="O25" s="106">
        <f t="shared" si="3"/>
        <v>0.26558031260392428</v>
      </c>
      <c r="P25" s="42" t="s">
        <v>947</v>
      </c>
      <c r="Q25" s="70" t="s">
        <v>946</v>
      </c>
    </row>
    <row r="26" spans="1:17" x14ac:dyDescent="0.2">
      <c r="A26" s="10">
        <v>11</v>
      </c>
      <c r="B26" s="36" t="s">
        <v>178</v>
      </c>
      <c r="C26" s="37" t="s">
        <v>179</v>
      </c>
      <c r="D26" s="37" t="s">
        <v>858</v>
      </c>
      <c r="E26" s="39">
        <f t="shared" si="0"/>
        <v>7671.2328767123281</v>
      </c>
      <c r="F26" s="35">
        <v>43531</v>
      </c>
      <c r="G26" s="36">
        <v>7</v>
      </c>
      <c r="H26" s="38">
        <v>1</v>
      </c>
      <c r="I26" s="36">
        <v>4.26</v>
      </c>
      <c r="J26" s="36">
        <f>5.96+2.8</f>
        <v>8.76</v>
      </c>
      <c r="K26" s="36">
        <v>6.72</v>
      </c>
      <c r="L26" s="47">
        <f t="shared" si="1"/>
        <v>6.72</v>
      </c>
      <c r="M26" s="47">
        <f>J26*10000*20535/100000000</f>
        <v>17.988659999999999</v>
      </c>
      <c r="N26" s="47">
        <f>(M26-K26-(J26*4500/10000)-K26*0.08)</f>
        <v>6.7890600000000001</v>
      </c>
      <c r="O26" s="106">
        <f t="shared" si="3"/>
        <v>0.3774077668931427</v>
      </c>
      <c r="P26" s="42" t="s">
        <v>1705</v>
      </c>
      <c r="Q26" s="70" t="s">
        <v>859</v>
      </c>
    </row>
    <row r="27" spans="1:17" x14ac:dyDescent="0.2">
      <c r="A27" s="10">
        <v>45</v>
      </c>
      <c r="B27" s="36" t="s">
        <v>186</v>
      </c>
      <c r="C27" s="37" t="s">
        <v>212</v>
      </c>
      <c r="D27" s="37" t="s">
        <v>962</v>
      </c>
      <c r="E27" s="39">
        <f t="shared" si="0"/>
        <v>5932.6923076923076</v>
      </c>
      <c r="F27" s="35">
        <v>43711</v>
      </c>
      <c r="G27" s="36">
        <v>3</v>
      </c>
      <c r="H27" s="38">
        <v>0.37</v>
      </c>
      <c r="I27" s="36">
        <v>5.2</v>
      </c>
      <c r="J27" s="36">
        <v>10.4</v>
      </c>
      <c r="K27" s="36">
        <v>6.17</v>
      </c>
      <c r="L27" s="47">
        <f t="shared" si="1"/>
        <v>2.2829000000000002</v>
      </c>
      <c r="M27" s="47"/>
      <c r="N27" s="47"/>
      <c r="O27" s="106"/>
    </row>
    <row r="28" spans="1:17" ht="28.5" x14ac:dyDescent="0.2">
      <c r="A28" s="10">
        <v>12</v>
      </c>
      <c r="B28" s="36" t="s">
        <v>178</v>
      </c>
      <c r="C28" s="37" t="s">
        <v>180</v>
      </c>
      <c r="D28" s="40" t="s">
        <v>901</v>
      </c>
      <c r="E28" s="39">
        <f t="shared" si="0"/>
        <v>2954.1015625</v>
      </c>
      <c r="F28" s="35">
        <v>43532</v>
      </c>
      <c r="G28" s="36">
        <v>8</v>
      </c>
      <c r="H28" s="38">
        <v>0.23</v>
      </c>
      <c r="I28" s="36">
        <v>5.76</v>
      </c>
      <c r="J28" s="36">
        <f>14.98+5.5</f>
        <v>20.48</v>
      </c>
      <c r="K28" s="36">
        <v>6.05</v>
      </c>
      <c r="L28" s="47">
        <f t="shared" si="1"/>
        <v>1.3915</v>
      </c>
      <c r="M28" s="47">
        <f>J28*10000*11000/100000000</f>
        <v>22.527999999999999</v>
      </c>
      <c r="N28" s="47">
        <f>(M28-K28-(J28*4500/10000)-K28*0.08)</f>
        <v>6.7779999999999987</v>
      </c>
      <c r="O28" s="106">
        <f t="shared" ref="O28:O53" si="4">N28/M28</f>
        <v>0.30087002840909088</v>
      </c>
      <c r="P28" s="42" t="s">
        <v>1706</v>
      </c>
      <c r="Q28" s="70" t="s">
        <v>902</v>
      </c>
    </row>
    <row r="29" spans="1:17" ht="28.5" x14ac:dyDescent="0.2">
      <c r="A29" s="10">
        <v>13</v>
      </c>
      <c r="B29" s="36" t="s">
        <v>181</v>
      </c>
      <c r="C29" s="37" t="s">
        <v>182</v>
      </c>
      <c r="D29" s="37" t="s">
        <v>860</v>
      </c>
      <c r="E29" s="39">
        <f t="shared" si="0"/>
        <v>4563.3359559402043</v>
      </c>
      <c r="F29" s="35">
        <v>43556</v>
      </c>
      <c r="G29" s="36">
        <v>1</v>
      </c>
      <c r="H29" s="38">
        <v>1</v>
      </c>
      <c r="I29" s="36">
        <v>5.55</v>
      </c>
      <c r="J29" s="36">
        <f>10.01+2.7</f>
        <v>12.71</v>
      </c>
      <c r="K29" s="36">
        <v>5.8</v>
      </c>
      <c r="L29" s="47">
        <f t="shared" si="1"/>
        <v>5.8</v>
      </c>
      <c r="M29" s="47">
        <f>J29*10000*12000/100000000</f>
        <v>15.252000000000002</v>
      </c>
      <c r="N29" s="47">
        <f>(M29-K29-(J29*4000/10000)-K29*0.08)</f>
        <v>3.9040000000000021</v>
      </c>
      <c r="O29" s="106">
        <f t="shared" si="4"/>
        <v>0.25596643063204838</v>
      </c>
      <c r="P29" s="42" t="s">
        <v>1741</v>
      </c>
      <c r="Q29" s="70" t="s">
        <v>867</v>
      </c>
    </row>
    <row r="30" spans="1:17" s="116" customFormat="1" x14ac:dyDescent="0.2">
      <c r="A30" s="116">
        <v>69</v>
      </c>
      <c r="B30" s="117" t="s">
        <v>1949</v>
      </c>
      <c r="C30" s="118" t="s">
        <v>1950</v>
      </c>
      <c r="D30" s="118" t="s">
        <v>1951</v>
      </c>
      <c r="E30" s="119">
        <f t="shared" si="0"/>
        <v>4212.4542124542122</v>
      </c>
      <c r="F30" s="120">
        <v>43800</v>
      </c>
      <c r="G30" s="117">
        <v>1</v>
      </c>
      <c r="H30" s="121">
        <v>0.75</v>
      </c>
      <c r="I30" s="117">
        <v>6.02</v>
      </c>
      <c r="J30" s="117">
        <v>13.65</v>
      </c>
      <c r="K30" s="117">
        <v>5.75</v>
      </c>
      <c r="L30" s="122">
        <f t="shared" si="1"/>
        <v>4.3125</v>
      </c>
      <c r="M30" s="122">
        <f>J30*10000*12500/100000000</f>
        <v>17.0625</v>
      </c>
      <c r="N30" s="122">
        <f>(M30-K30-(J30*4000/10000)-K30*0.08)</f>
        <v>5.3925000000000001</v>
      </c>
      <c r="O30" s="123">
        <f t="shared" si="4"/>
        <v>0.31604395604395608</v>
      </c>
      <c r="P30" s="124" t="s">
        <v>938</v>
      </c>
      <c r="Q30" s="125" t="s">
        <v>937</v>
      </c>
    </row>
    <row r="31" spans="1:17" ht="28.5" x14ac:dyDescent="0.2">
      <c r="A31" s="10">
        <v>31</v>
      </c>
      <c r="B31" s="36" t="s">
        <v>149</v>
      </c>
      <c r="C31" s="37" t="s">
        <v>150</v>
      </c>
      <c r="D31" s="37" t="s">
        <v>883</v>
      </c>
      <c r="E31" s="39">
        <f t="shared" si="0"/>
        <v>2978.0396357793247</v>
      </c>
      <c r="F31" s="35">
        <v>43650</v>
      </c>
      <c r="G31" s="36">
        <v>4</v>
      </c>
      <c r="H31" s="38">
        <v>1</v>
      </c>
      <c r="I31" s="36">
        <v>7.66</v>
      </c>
      <c r="J31" s="36">
        <v>18.670000000000002</v>
      </c>
      <c r="K31" s="36">
        <v>5.56</v>
      </c>
      <c r="L31" s="47">
        <f t="shared" si="1"/>
        <v>5.56</v>
      </c>
      <c r="M31" s="47">
        <f>J31*10000*11000/100000000</f>
        <v>20.537000000000003</v>
      </c>
      <c r="N31" s="47">
        <f>(M31-K31-(J31*4000/10000)-K31*0.08)</f>
        <v>7.064200000000004</v>
      </c>
      <c r="O31" s="106">
        <f t="shared" si="4"/>
        <v>0.3439742903053028</v>
      </c>
      <c r="P31" s="42" t="s">
        <v>1748</v>
      </c>
      <c r="Q31" s="70" t="s">
        <v>884</v>
      </c>
    </row>
    <row r="32" spans="1:17" ht="28.5" x14ac:dyDescent="0.2">
      <c r="A32" s="10">
        <v>7</v>
      </c>
      <c r="B32" s="36" t="s">
        <v>171</v>
      </c>
      <c r="C32" s="37" t="s">
        <v>172</v>
      </c>
      <c r="D32" s="40" t="s">
        <v>853</v>
      </c>
      <c r="E32" s="39">
        <f t="shared" si="0"/>
        <v>14000.000000000002</v>
      </c>
      <c r="F32" s="35">
        <v>43527</v>
      </c>
      <c r="G32" s="36">
        <v>3</v>
      </c>
      <c r="H32" s="38">
        <v>1</v>
      </c>
      <c r="I32" s="36">
        <v>2.88</v>
      </c>
      <c r="J32" s="36">
        <f>5.05-1.1</f>
        <v>3.9499999999999997</v>
      </c>
      <c r="K32" s="36">
        <v>5.53</v>
      </c>
      <c r="L32" s="47">
        <f t="shared" si="1"/>
        <v>5.53</v>
      </c>
      <c r="M32" s="47">
        <f>J32*10000*25000/100000000</f>
        <v>9.875</v>
      </c>
      <c r="N32" s="47">
        <f>(M32-K32-(J32*4000/10000)-K32*0.08)</f>
        <v>2.3225999999999996</v>
      </c>
      <c r="O32" s="106">
        <f t="shared" si="4"/>
        <v>0.23519999999999996</v>
      </c>
      <c r="P32" s="42" t="s">
        <v>1740</v>
      </c>
      <c r="Q32" s="70" t="s">
        <v>855</v>
      </c>
    </row>
    <row r="33" spans="1:17" x14ac:dyDescent="0.2">
      <c r="A33" s="10">
        <v>30</v>
      </c>
      <c r="B33" s="36" t="s">
        <v>178</v>
      </c>
      <c r="C33" s="37" t="s">
        <v>200</v>
      </c>
      <c r="D33" s="37" t="s">
        <v>978</v>
      </c>
      <c r="E33" s="39">
        <f t="shared" si="0"/>
        <v>6395.3488372093025</v>
      </c>
      <c r="F33" s="35">
        <v>43649</v>
      </c>
      <c r="G33" s="36">
        <v>3</v>
      </c>
      <c r="H33" s="38">
        <v>0.49</v>
      </c>
      <c r="I33" s="36">
        <v>3.82</v>
      </c>
      <c r="J33" s="36">
        <v>8.6</v>
      </c>
      <c r="K33" s="36">
        <v>5.5</v>
      </c>
      <c r="L33" s="47">
        <f t="shared" si="1"/>
        <v>2.6949999999999998</v>
      </c>
      <c r="M33" s="47">
        <f>J33*10000*13000/100000000</f>
        <v>11.18</v>
      </c>
      <c r="N33" s="47">
        <f>(M33-K33-(J33*4000/10000)-K33*0.08)</f>
        <v>1.7999999999999998</v>
      </c>
      <c r="O33" s="106">
        <f t="shared" si="4"/>
        <v>0.16100178890876565</v>
      </c>
      <c r="P33" s="42" t="s">
        <v>1711</v>
      </c>
      <c r="Q33" s="70" t="s">
        <v>979</v>
      </c>
    </row>
    <row r="34" spans="1:17" x14ac:dyDescent="0.2">
      <c r="A34" s="10">
        <v>32</v>
      </c>
      <c r="B34" s="36" t="s">
        <v>201</v>
      </c>
      <c r="C34" s="37" t="s">
        <v>151</v>
      </c>
      <c r="D34" s="37" t="s">
        <v>245</v>
      </c>
      <c r="E34" s="39">
        <f t="shared" ref="E34:E65" si="5">K34/J34*10000</f>
        <v>5711.1111111111113</v>
      </c>
      <c r="F34" s="35">
        <v>43651</v>
      </c>
      <c r="G34" s="36">
        <v>5</v>
      </c>
      <c r="H34" s="38">
        <v>1</v>
      </c>
      <c r="I34" s="36">
        <v>3.7</v>
      </c>
      <c r="J34" s="36">
        <f>6.4+2.6</f>
        <v>9</v>
      </c>
      <c r="K34" s="36">
        <v>5.14</v>
      </c>
      <c r="L34" s="47">
        <f t="shared" ref="L34:L65" si="6">K34*H34</f>
        <v>5.14</v>
      </c>
      <c r="M34" s="47">
        <f>J34*10000*16000/100000000</f>
        <v>14.4</v>
      </c>
      <c r="N34" s="47">
        <f>(M34-K34-(J34*4500/10000)-K34*0.08)</f>
        <v>4.7988000000000017</v>
      </c>
      <c r="O34" s="106">
        <f t="shared" si="4"/>
        <v>0.3332500000000001</v>
      </c>
      <c r="P34" s="42" t="s">
        <v>888</v>
      </c>
      <c r="Q34" s="70" t="s">
        <v>889</v>
      </c>
    </row>
    <row r="35" spans="1:17" x14ac:dyDescent="0.2">
      <c r="A35" s="10">
        <v>73</v>
      </c>
      <c r="B35" s="36" t="s">
        <v>239</v>
      </c>
      <c r="C35" s="37" t="s">
        <v>240</v>
      </c>
      <c r="D35" s="37" t="s">
        <v>980</v>
      </c>
      <c r="E35" s="39">
        <f t="shared" si="5"/>
        <v>4058.7768069896747</v>
      </c>
      <c r="F35" s="35">
        <v>43804</v>
      </c>
      <c r="G35" s="36">
        <v>5</v>
      </c>
      <c r="H35" s="38">
        <v>0.1</v>
      </c>
      <c r="I35" s="36">
        <v>2.15</v>
      </c>
      <c r="J35" s="36">
        <f>8.59+4</f>
        <v>12.59</v>
      </c>
      <c r="K35" s="36">
        <v>5.1100000000000003</v>
      </c>
      <c r="L35" s="47">
        <f t="shared" si="6"/>
        <v>0.51100000000000001</v>
      </c>
      <c r="M35" s="47">
        <f>J35*10000*12500/100000000</f>
        <v>15.737500000000001</v>
      </c>
      <c r="N35" s="47">
        <f>(M35-K35-(J35*4500/10000)-K35*0.08)</f>
        <v>4.5532000000000012</v>
      </c>
      <c r="O35" s="106">
        <f t="shared" si="4"/>
        <v>0.28932168387609219</v>
      </c>
      <c r="P35" s="42" t="s">
        <v>982</v>
      </c>
      <c r="Q35" s="70" t="s">
        <v>981</v>
      </c>
    </row>
    <row r="36" spans="1:17" s="116" customFormat="1" x14ac:dyDescent="0.2">
      <c r="A36" s="10">
        <v>71</v>
      </c>
      <c r="B36" s="36" t="s">
        <v>237</v>
      </c>
      <c r="C36" s="40" t="s">
        <v>917</v>
      </c>
      <c r="D36" s="37" t="s">
        <v>916</v>
      </c>
      <c r="E36" s="39">
        <f t="shared" si="5"/>
        <v>1943.0894308943089</v>
      </c>
      <c r="F36" s="35">
        <v>43802</v>
      </c>
      <c r="G36" s="36">
        <v>3</v>
      </c>
      <c r="H36" s="38">
        <v>0.66</v>
      </c>
      <c r="I36" s="36">
        <v>6.94</v>
      </c>
      <c r="J36" s="36">
        <f>17.8+6.8</f>
        <v>24.6</v>
      </c>
      <c r="K36" s="36">
        <v>4.78</v>
      </c>
      <c r="L36" s="47">
        <f t="shared" si="6"/>
        <v>3.1548000000000003</v>
      </c>
      <c r="M36" s="47">
        <f>J36*10000*12000/100000000</f>
        <v>29.52</v>
      </c>
      <c r="N36" s="47">
        <f>(M36-K36-(J36*4500/10000)-K36*0.08)</f>
        <v>13.287599999999998</v>
      </c>
      <c r="O36" s="106">
        <f t="shared" si="4"/>
        <v>0.4501219512195121</v>
      </c>
      <c r="P36" s="42" t="s">
        <v>919</v>
      </c>
      <c r="Q36" s="137" t="s">
        <v>918</v>
      </c>
    </row>
    <row r="37" spans="1:17" x14ac:dyDescent="0.2">
      <c r="A37" s="10">
        <v>62</v>
      </c>
      <c r="B37" s="36" t="s">
        <v>181</v>
      </c>
      <c r="C37" s="37" t="s">
        <v>182</v>
      </c>
      <c r="D37" s="40" t="s">
        <v>975</v>
      </c>
      <c r="E37" s="39">
        <f t="shared" si="5"/>
        <v>3758.9214908802542</v>
      </c>
      <c r="F37" s="35">
        <v>43771</v>
      </c>
      <c r="G37" s="36">
        <v>2</v>
      </c>
      <c r="H37" s="38">
        <v>0.75</v>
      </c>
      <c r="I37" s="36">
        <v>7.83</v>
      </c>
      <c r="J37" s="36">
        <f>8.61+4</f>
        <v>12.61</v>
      </c>
      <c r="K37" s="36">
        <v>4.74</v>
      </c>
      <c r="L37" s="47">
        <f t="shared" si="6"/>
        <v>3.5550000000000002</v>
      </c>
      <c r="M37" s="47">
        <f>J37*10000*16000/100000000</f>
        <v>20.175999999999998</v>
      </c>
      <c r="N37" s="47">
        <f>(M37-K37-(J37*4500/10000)-K37*0.08)</f>
        <v>9.3822999999999972</v>
      </c>
      <c r="O37" s="106">
        <f t="shared" si="4"/>
        <v>0.46502279936558277</v>
      </c>
      <c r="P37" s="42" t="s">
        <v>977</v>
      </c>
      <c r="Q37" s="70" t="s">
        <v>976</v>
      </c>
    </row>
    <row r="38" spans="1:17" s="116" customFormat="1" ht="28.5" x14ac:dyDescent="0.2">
      <c r="A38" s="116">
        <v>1</v>
      </c>
      <c r="B38" s="117" t="s">
        <v>1963</v>
      </c>
      <c r="C38" s="118" t="s">
        <v>1964</v>
      </c>
      <c r="D38" s="118" t="s">
        <v>1965</v>
      </c>
      <c r="E38" s="119">
        <f t="shared" si="5"/>
        <v>3969.0721649484535</v>
      </c>
      <c r="F38" s="120">
        <v>43466</v>
      </c>
      <c r="G38" s="117">
        <v>1</v>
      </c>
      <c r="H38" s="121">
        <v>1</v>
      </c>
      <c r="I38" s="117">
        <v>3.76</v>
      </c>
      <c r="J38" s="117">
        <f>9.14+2.5</f>
        <v>11.64</v>
      </c>
      <c r="K38" s="117">
        <v>4.62</v>
      </c>
      <c r="L38" s="122">
        <f t="shared" si="6"/>
        <v>4.62</v>
      </c>
      <c r="M38" s="122">
        <f>J38*10000*10500/100000000</f>
        <v>12.222</v>
      </c>
      <c r="N38" s="122">
        <f>(M38-K38-(J38*3500/10000)-K38*0.08)</f>
        <v>3.1583999999999994</v>
      </c>
      <c r="O38" s="123">
        <f t="shared" si="4"/>
        <v>0.25841924398625427</v>
      </c>
      <c r="P38" s="124" t="s">
        <v>1735</v>
      </c>
      <c r="Q38" s="125" t="s">
        <v>846</v>
      </c>
    </row>
    <row r="39" spans="1:17" ht="28.5" x14ac:dyDescent="0.2">
      <c r="A39" s="10">
        <v>16</v>
      </c>
      <c r="B39" s="36" t="s">
        <v>178</v>
      </c>
      <c r="C39" s="37" t="s">
        <v>179</v>
      </c>
      <c r="D39" s="37" t="s">
        <v>1010</v>
      </c>
      <c r="E39" s="39">
        <f t="shared" si="5"/>
        <v>7720.2072538860102</v>
      </c>
      <c r="F39" s="35">
        <v>43587</v>
      </c>
      <c r="G39" s="36">
        <v>2</v>
      </c>
      <c r="H39" s="38">
        <v>0.5</v>
      </c>
      <c r="I39" s="36">
        <v>2.92</v>
      </c>
      <c r="J39" s="36">
        <f>3.79+2</f>
        <v>5.79</v>
      </c>
      <c r="K39" s="36">
        <v>4.47</v>
      </c>
      <c r="L39" s="47">
        <f t="shared" si="6"/>
        <v>2.2349999999999999</v>
      </c>
      <c r="M39" s="47">
        <f>J39*10000*20000/100000000</f>
        <v>11.58</v>
      </c>
      <c r="N39" s="47">
        <f>(M39-K39-(J39*4500/10000)-K39*0.08)</f>
        <v>4.1469000000000005</v>
      </c>
      <c r="O39" s="106">
        <f t="shared" si="4"/>
        <v>0.35810880829015546</v>
      </c>
      <c r="P39" s="42" t="s">
        <v>1708</v>
      </c>
      <c r="Q39" s="70" t="s">
        <v>1011</v>
      </c>
    </row>
    <row r="40" spans="1:17" ht="28.5" x14ac:dyDescent="0.2">
      <c r="A40" s="10">
        <v>61</v>
      </c>
      <c r="B40" s="36" t="s">
        <v>219</v>
      </c>
      <c r="C40" s="37" t="s">
        <v>224</v>
      </c>
      <c r="D40" s="37" t="s">
        <v>970</v>
      </c>
      <c r="E40" s="39">
        <f t="shared" si="5"/>
        <v>4605.8091286307053</v>
      </c>
      <c r="F40" s="35">
        <v>43770</v>
      </c>
      <c r="G40" s="36">
        <v>1</v>
      </c>
      <c r="H40" s="38">
        <v>0.7</v>
      </c>
      <c r="I40" s="36">
        <v>4.38</v>
      </c>
      <c r="J40" s="36">
        <v>9.64</v>
      </c>
      <c r="K40" s="36">
        <v>4.4400000000000004</v>
      </c>
      <c r="L40" s="47">
        <f t="shared" si="6"/>
        <v>3.1080000000000001</v>
      </c>
      <c r="M40" s="47">
        <f>J40*10000*13300/100000000</f>
        <v>12.821199999999999</v>
      </c>
      <c r="N40" s="47">
        <f>(M40-K40-(J40*4500/10000)-K40*0.08)</f>
        <v>3.6879999999999997</v>
      </c>
      <c r="O40" s="106">
        <f t="shared" si="4"/>
        <v>0.28764858203600285</v>
      </c>
      <c r="P40" s="42" t="s">
        <v>972</v>
      </c>
      <c r="Q40" s="70" t="s">
        <v>971</v>
      </c>
    </row>
    <row r="41" spans="1:17" ht="28.5" x14ac:dyDescent="0.2">
      <c r="A41" s="10">
        <v>26</v>
      </c>
      <c r="B41" s="36" t="s">
        <v>198</v>
      </c>
      <c r="C41" s="40" t="s">
        <v>968</v>
      </c>
      <c r="D41" s="37" t="s">
        <v>244</v>
      </c>
      <c r="E41" s="39">
        <f t="shared" si="5"/>
        <v>3139.7849462365589</v>
      </c>
      <c r="F41" s="35">
        <v>43622</v>
      </c>
      <c r="G41" s="36">
        <v>6</v>
      </c>
      <c r="H41" s="38">
        <v>0.3</v>
      </c>
      <c r="I41" s="36">
        <v>6.36</v>
      </c>
      <c r="J41" s="36">
        <f>10.05+3.9</f>
        <v>13.950000000000001</v>
      </c>
      <c r="K41" s="36">
        <v>4.38</v>
      </c>
      <c r="L41" s="47">
        <f t="shared" si="6"/>
        <v>1.3139999999999998</v>
      </c>
      <c r="M41" s="47">
        <f>J41*10000*11400/100000000</f>
        <v>15.903</v>
      </c>
      <c r="N41" s="47">
        <f>(M41-K41-(J41*4000/10000)-K41*0.08)</f>
        <v>5.5925999999999991</v>
      </c>
      <c r="O41" s="106">
        <f t="shared" si="4"/>
        <v>0.35166949632144873</v>
      </c>
      <c r="P41" s="42" t="s">
        <v>1885</v>
      </c>
      <c r="Q41" s="70" t="s">
        <v>969</v>
      </c>
    </row>
    <row r="42" spans="1:17" s="126" customFormat="1" x14ac:dyDescent="0.2">
      <c r="A42" s="10">
        <v>59</v>
      </c>
      <c r="B42" s="36" t="s">
        <v>162</v>
      </c>
      <c r="C42" s="37" t="s">
        <v>223</v>
      </c>
      <c r="D42" s="37" t="s">
        <v>991</v>
      </c>
      <c r="E42" s="39">
        <f t="shared" si="5"/>
        <v>6738.7944358578052</v>
      </c>
      <c r="F42" s="35">
        <v>43746</v>
      </c>
      <c r="G42" s="36">
        <v>8</v>
      </c>
      <c r="H42" s="38">
        <v>1</v>
      </c>
      <c r="I42" s="36">
        <v>2.59</v>
      </c>
      <c r="J42" s="36">
        <v>6.47</v>
      </c>
      <c r="K42" s="36">
        <v>4.3600000000000003</v>
      </c>
      <c r="L42" s="47">
        <f t="shared" si="6"/>
        <v>4.3600000000000003</v>
      </c>
      <c r="M42" s="47">
        <f>J42*10000*11700/100000000</f>
        <v>7.5698999999999996</v>
      </c>
      <c r="N42" s="47">
        <f>(M42-K42-(J42*4000/10000)-K42*0.08)</f>
        <v>0.27309999999999918</v>
      </c>
      <c r="O42" s="106">
        <f t="shared" si="4"/>
        <v>3.6077094809706757E-2</v>
      </c>
      <c r="P42" s="42" t="s">
        <v>1781</v>
      </c>
      <c r="Q42" s="70" t="s">
        <v>992</v>
      </c>
    </row>
    <row r="43" spans="1:17" x14ac:dyDescent="0.2">
      <c r="A43" s="10">
        <v>43</v>
      </c>
      <c r="B43" s="36" t="s">
        <v>178</v>
      </c>
      <c r="C43" s="37" t="s">
        <v>179</v>
      </c>
      <c r="D43" s="37" t="s">
        <v>1012</v>
      </c>
      <c r="E43" s="39">
        <f t="shared" si="5"/>
        <v>7031.5091210613609</v>
      </c>
      <c r="F43" s="35">
        <v>43709</v>
      </c>
      <c r="G43" s="36">
        <v>1</v>
      </c>
      <c r="H43" s="38">
        <v>0.8</v>
      </c>
      <c r="I43" s="36">
        <v>3.18</v>
      </c>
      <c r="J43" s="36">
        <f>4.13+1.9</f>
        <v>6.0299999999999994</v>
      </c>
      <c r="K43" s="36">
        <v>4.24</v>
      </c>
      <c r="L43" s="47">
        <f t="shared" si="6"/>
        <v>3.3920000000000003</v>
      </c>
      <c r="M43" s="47">
        <f>J43*10000*19000/100000000</f>
        <v>11.456999999999997</v>
      </c>
      <c r="N43" s="47">
        <f>(M43-K43-(J43*4500/10000)-K43*0.08)</f>
        <v>4.1642999999999972</v>
      </c>
      <c r="O43" s="106">
        <f t="shared" si="4"/>
        <v>0.36347211311861727</v>
      </c>
      <c r="P43" s="42" t="s">
        <v>1714</v>
      </c>
      <c r="Q43" s="137" t="s">
        <v>1013</v>
      </c>
    </row>
    <row r="44" spans="1:17" ht="28.5" x14ac:dyDescent="0.2">
      <c r="A44" s="10">
        <v>54</v>
      </c>
      <c r="B44" s="36" t="s">
        <v>219</v>
      </c>
      <c r="C44" s="37" t="s">
        <v>220</v>
      </c>
      <c r="D44" s="37" t="s">
        <v>250</v>
      </c>
      <c r="E44" s="39">
        <f t="shared" si="5"/>
        <v>4600.219058050383</v>
      </c>
      <c r="F44" s="35">
        <v>43741</v>
      </c>
      <c r="G44" s="36">
        <v>3</v>
      </c>
      <c r="H44" s="38">
        <v>0.3</v>
      </c>
      <c r="I44" s="36">
        <v>4.1500000000000004</v>
      </c>
      <c r="J44" s="36">
        <v>9.1300000000000008</v>
      </c>
      <c r="K44" s="36">
        <v>4.2</v>
      </c>
      <c r="L44" s="47">
        <f t="shared" si="6"/>
        <v>1.26</v>
      </c>
      <c r="M44" s="47">
        <f>J44*10000*13300/100000000</f>
        <v>12.142900000000003</v>
      </c>
      <c r="N44" s="47">
        <f>(M44-K44-(J44*4500/10000)-K44*0.08)</f>
        <v>3.4984000000000024</v>
      </c>
      <c r="O44" s="106">
        <f t="shared" si="4"/>
        <v>0.28810251257936748</v>
      </c>
      <c r="P44" s="42" t="s">
        <v>972</v>
      </c>
      <c r="Q44" s="70" t="s">
        <v>971</v>
      </c>
    </row>
    <row r="45" spans="1:17" ht="28.5" x14ac:dyDescent="0.2">
      <c r="A45" s="10">
        <v>42</v>
      </c>
      <c r="B45" s="36" t="s">
        <v>210</v>
      </c>
      <c r="C45" s="37" t="s">
        <v>211</v>
      </c>
      <c r="D45" s="37" t="s">
        <v>247</v>
      </c>
      <c r="E45" s="39">
        <f t="shared" si="5"/>
        <v>2525.062656641604</v>
      </c>
      <c r="F45" s="35">
        <v>43686</v>
      </c>
      <c r="G45" s="36">
        <v>9</v>
      </c>
      <c r="H45" s="38">
        <v>1</v>
      </c>
      <c r="I45" s="36">
        <v>4.5599999999999996</v>
      </c>
      <c r="J45" s="36">
        <v>15.96</v>
      </c>
      <c r="K45" s="36">
        <v>4.03</v>
      </c>
      <c r="L45" s="47">
        <f t="shared" si="6"/>
        <v>4.03</v>
      </c>
      <c r="M45" s="47">
        <f>J45*10000*6000/100000000</f>
        <v>9.5760000000000005</v>
      </c>
      <c r="N45" s="47">
        <f>(M45-K45-(J45*3000/10000)-K45*0.08)</f>
        <v>0.43559999999999999</v>
      </c>
      <c r="O45" s="106">
        <f t="shared" si="4"/>
        <v>4.5488721804511273E-2</v>
      </c>
      <c r="P45" s="42" t="s">
        <v>924</v>
      </c>
      <c r="Q45" s="138" t="s">
        <v>923</v>
      </c>
    </row>
    <row r="46" spans="1:17" ht="28.5" x14ac:dyDescent="0.2">
      <c r="A46" s="116">
        <v>44</v>
      </c>
      <c r="B46" s="117" t="s">
        <v>909</v>
      </c>
      <c r="C46" s="118" t="s">
        <v>943</v>
      </c>
      <c r="D46" s="118" t="s">
        <v>944</v>
      </c>
      <c r="E46" s="119">
        <f t="shared" si="5"/>
        <v>2486.0508369497829</v>
      </c>
      <c r="F46" s="120">
        <v>43710</v>
      </c>
      <c r="G46" s="117">
        <v>2</v>
      </c>
      <c r="H46" s="121">
        <v>0.21</v>
      </c>
      <c r="I46" s="117">
        <v>4.93</v>
      </c>
      <c r="J46" s="117">
        <f>12.33+3.8</f>
        <v>16.13</v>
      </c>
      <c r="K46" s="117">
        <v>4.01</v>
      </c>
      <c r="L46" s="122">
        <f t="shared" si="6"/>
        <v>0.84209999999999996</v>
      </c>
      <c r="M46" s="122">
        <f>J46*10000*12000/100000000</f>
        <v>19.356000000000002</v>
      </c>
      <c r="N46" s="122">
        <f>(M46-K46-(J46*4500/10000)-K46*0.08)</f>
        <v>7.7667000000000019</v>
      </c>
      <c r="O46" s="123">
        <f t="shared" si="4"/>
        <v>0.40125542467451958</v>
      </c>
      <c r="P46" s="124" t="s">
        <v>1716</v>
      </c>
      <c r="Q46" s="137" t="s">
        <v>1715</v>
      </c>
    </row>
    <row r="47" spans="1:17" ht="28.5" x14ac:dyDescent="0.2">
      <c r="A47" s="10">
        <v>21</v>
      </c>
      <c r="B47" s="36" t="s">
        <v>183</v>
      </c>
      <c r="C47" s="37" t="s">
        <v>193</v>
      </c>
      <c r="D47" s="40" t="s">
        <v>930</v>
      </c>
      <c r="E47" s="39">
        <f t="shared" si="5"/>
        <v>2561.9249823071477</v>
      </c>
      <c r="F47" s="35">
        <v>43617</v>
      </c>
      <c r="G47" s="36">
        <v>1</v>
      </c>
      <c r="H47" s="38">
        <v>0.32</v>
      </c>
      <c r="I47" s="36">
        <v>5.65</v>
      </c>
      <c r="J47" s="36">
        <v>14.13</v>
      </c>
      <c r="K47" s="36">
        <v>3.62</v>
      </c>
      <c r="L47" s="47">
        <f t="shared" si="6"/>
        <v>1.1584000000000001</v>
      </c>
      <c r="M47" s="47">
        <f>J47*10000*9000/100000000</f>
        <v>12.717000000000001</v>
      </c>
      <c r="N47" s="47">
        <f>(M47-K47-(J47*4000/10000)-K47*0.08)</f>
        <v>3.1554000000000011</v>
      </c>
      <c r="O47" s="106">
        <f t="shared" si="4"/>
        <v>0.24812455767869787</v>
      </c>
      <c r="P47" s="42" t="s">
        <v>1745</v>
      </c>
      <c r="Q47" s="70" t="s">
        <v>933</v>
      </c>
    </row>
    <row r="48" spans="1:17" x14ac:dyDescent="0.2">
      <c r="A48" s="126">
        <v>53</v>
      </c>
      <c r="B48" s="127" t="s">
        <v>954</v>
      </c>
      <c r="C48" s="128" t="s">
        <v>955</v>
      </c>
      <c r="D48" s="128" t="s">
        <v>956</v>
      </c>
      <c r="E48" s="129">
        <f t="shared" si="5"/>
        <v>3154.545454545455</v>
      </c>
      <c r="F48" s="130">
        <v>43740</v>
      </c>
      <c r="G48" s="127">
        <v>2</v>
      </c>
      <c r="H48" s="131">
        <v>0.6</v>
      </c>
      <c r="I48" s="127">
        <v>4.4000000000000004</v>
      </c>
      <c r="J48" s="127">
        <v>11</v>
      </c>
      <c r="K48" s="127">
        <v>3.47</v>
      </c>
      <c r="L48" s="132">
        <f t="shared" si="6"/>
        <v>2.0819999999999999</v>
      </c>
      <c r="M48" s="47">
        <f>J48*10000*10000/100000000</f>
        <v>11</v>
      </c>
      <c r="N48" s="47">
        <f>(M48-K48-(J48*3500/10000)-K48*0.08)</f>
        <v>3.4023999999999992</v>
      </c>
      <c r="O48" s="106">
        <f t="shared" si="4"/>
        <v>0.30930909090909081</v>
      </c>
      <c r="P48" s="133" t="s">
        <v>958</v>
      </c>
      <c r="Q48" s="70" t="s">
        <v>959</v>
      </c>
    </row>
    <row r="49" spans="1:17" x14ac:dyDescent="0.2">
      <c r="A49" s="10">
        <v>63</v>
      </c>
      <c r="B49" s="36" t="s">
        <v>213</v>
      </c>
      <c r="C49" s="37" t="s">
        <v>225</v>
      </c>
      <c r="D49" s="37" t="s">
        <v>983</v>
      </c>
      <c r="E49" s="39">
        <f t="shared" si="5"/>
        <v>2811.4754098360654</v>
      </c>
      <c r="F49" s="35">
        <v>43772</v>
      </c>
      <c r="G49" s="36">
        <v>3</v>
      </c>
      <c r="H49" s="38">
        <v>0.37</v>
      </c>
      <c r="I49" s="36">
        <v>5.19</v>
      </c>
      <c r="J49" s="36">
        <f>8.3+3.9</f>
        <v>12.200000000000001</v>
      </c>
      <c r="K49" s="36">
        <v>3.43</v>
      </c>
      <c r="L49" s="47">
        <f t="shared" si="6"/>
        <v>1.2691000000000001</v>
      </c>
      <c r="M49" s="47">
        <f>J49*10000*11000/100000000</f>
        <v>13.420000000000002</v>
      </c>
      <c r="N49" s="47">
        <f>(M49-K49-(J49*4000/10000)-K49*0.08)</f>
        <v>4.8356000000000012</v>
      </c>
      <c r="O49" s="106">
        <f t="shared" si="4"/>
        <v>0.36032786885245904</v>
      </c>
      <c r="P49" s="42" t="s">
        <v>985</v>
      </c>
      <c r="Q49" s="70" t="s">
        <v>984</v>
      </c>
    </row>
    <row r="50" spans="1:17" ht="28.5" x14ac:dyDescent="0.2">
      <c r="A50" s="116">
        <v>37</v>
      </c>
      <c r="B50" s="117" t="s">
        <v>909</v>
      </c>
      <c r="C50" s="118" t="s">
        <v>910</v>
      </c>
      <c r="D50" s="118" t="s">
        <v>911</v>
      </c>
      <c r="E50" s="119">
        <f t="shared" si="5"/>
        <v>1125.1244606704281</v>
      </c>
      <c r="F50" s="120">
        <v>43681</v>
      </c>
      <c r="G50" s="117">
        <v>4</v>
      </c>
      <c r="H50" s="121">
        <v>1</v>
      </c>
      <c r="I50" s="117">
        <v>10.54</v>
      </c>
      <c r="J50" s="117">
        <f>22.13+8</f>
        <v>30.13</v>
      </c>
      <c r="K50" s="117">
        <v>3.39</v>
      </c>
      <c r="L50" s="122">
        <f t="shared" si="6"/>
        <v>3.39</v>
      </c>
      <c r="M50" s="122">
        <f>J50*10000*14000/100000000</f>
        <v>42.182000000000002</v>
      </c>
      <c r="N50" s="122">
        <f>(M50-K50-(J50*4500/10000)-K50*0.08)</f>
        <v>24.962299999999999</v>
      </c>
      <c r="O50" s="123">
        <f t="shared" si="4"/>
        <v>0.59177611303399547</v>
      </c>
      <c r="P50" s="124" t="s">
        <v>1713</v>
      </c>
      <c r="Q50" s="125" t="s">
        <v>908</v>
      </c>
    </row>
    <row r="51" spans="1:17" ht="28.5" x14ac:dyDescent="0.2">
      <c r="A51" s="10">
        <v>36</v>
      </c>
      <c r="B51" s="36" t="s">
        <v>178</v>
      </c>
      <c r="C51" s="37" t="s">
        <v>200</v>
      </c>
      <c r="D51" s="37" t="s">
        <v>993</v>
      </c>
      <c r="E51" s="39">
        <f t="shared" si="5"/>
        <v>5978.260869565217</v>
      </c>
      <c r="F51" s="35">
        <v>43680</v>
      </c>
      <c r="G51" s="36">
        <v>3</v>
      </c>
      <c r="H51" s="38">
        <v>0.49</v>
      </c>
      <c r="I51" s="36">
        <v>2.4500000000000002</v>
      </c>
      <c r="J51" s="36">
        <v>5.52</v>
      </c>
      <c r="K51" s="36">
        <v>3.3</v>
      </c>
      <c r="L51" s="47">
        <f t="shared" si="6"/>
        <v>1.617</v>
      </c>
      <c r="M51" s="47">
        <f>J51*10000*14000/100000000</f>
        <v>7.7279999999999989</v>
      </c>
      <c r="N51" s="47">
        <f>(M51-K51-(J51*4000/10000)-K51*0.08)</f>
        <v>1.9559999999999989</v>
      </c>
      <c r="O51" s="106">
        <f t="shared" si="4"/>
        <v>0.2531055900621117</v>
      </c>
      <c r="P51" s="42" t="s">
        <v>1712</v>
      </c>
      <c r="Q51" s="70" t="s">
        <v>994</v>
      </c>
    </row>
    <row r="52" spans="1:17" x14ac:dyDescent="0.2">
      <c r="A52" s="10">
        <v>39</v>
      </c>
      <c r="B52" s="36" t="s">
        <v>169</v>
      </c>
      <c r="C52" s="40" t="s">
        <v>929</v>
      </c>
      <c r="D52" s="40" t="s">
        <v>928</v>
      </c>
      <c r="E52" s="39">
        <f t="shared" si="5"/>
        <v>2209.2222986923607</v>
      </c>
      <c r="F52" s="35">
        <v>43683</v>
      </c>
      <c r="G52" s="36">
        <v>6</v>
      </c>
      <c r="H52" s="38">
        <v>0.375</v>
      </c>
      <c r="I52" s="36">
        <v>3.81</v>
      </c>
      <c r="J52" s="36">
        <v>14.53</v>
      </c>
      <c r="K52" s="36">
        <v>3.21</v>
      </c>
      <c r="L52" s="47">
        <f t="shared" si="6"/>
        <v>1.2037499999999999</v>
      </c>
      <c r="M52" s="47">
        <f>J52*10000*8800/100000000</f>
        <v>12.7864</v>
      </c>
      <c r="N52" s="47">
        <f>(M52-K52-(J52*4000/10000)-K52*0.08)</f>
        <v>3.5075999999999992</v>
      </c>
      <c r="O52" s="106">
        <f t="shared" si="4"/>
        <v>0.27432271788775564</v>
      </c>
      <c r="P52" s="42" t="s">
        <v>932</v>
      </c>
      <c r="Q52" s="70" t="s">
        <v>931</v>
      </c>
    </row>
    <row r="53" spans="1:17" x14ac:dyDescent="0.2">
      <c r="A53" s="10">
        <v>51</v>
      </c>
      <c r="B53" s="36" t="s">
        <v>217</v>
      </c>
      <c r="C53" s="37" t="s">
        <v>218</v>
      </c>
      <c r="D53" s="40" t="s">
        <v>963</v>
      </c>
      <c r="E53" s="39">
        <f t="shared" si="5"/>
        <v>2068.0453635757171</v>
      </c>
      <c r="F53" s="35">
        <v>43717</v>
      </c>
      <c r="G53" s="36">
        <v>9</v>
      </c>
      <c r="H53" s="38">
        <v>0.85</v>
      </c>
      <c r="I53" s="36">
        <v>3.1</v>
      </c>
      <c r="J53" s="36">
        <f>10.29+4.7</f>
        <v>14.989999999999998</v>
      </c>
      <c r="K53" s="36">
        <v>3.1</v>
      </c>
      <c r="L53" s="47">
        <f t="shared" si="6"/>
        <v>2.6349999999999998</v>
      </c>
      <c r="M53" s="47">
        <f>J53*10000*9500/100000000</f>
        <v>14.240499999999997</v>
      </c>
      <c r="N53" s="47">
        <f>(M53-K53-(J53*4500/10000)-K53*0.08)</f>
        <v>4.1469999999999976</v>
      </c>
      <c r="O53" s="106">
        <f t="shared" si="4"/>
        <v>0.29121168498297101</v>
      </c>
      <c r="P53" s="42" t="s">
        <v>965</v>
      </c>
      <c r="Q53" s="70" t="s">
        <v>964</v>
      </c>
    </row>
    <row r="54" spans="1:17" x14ac:dyDescent="0.2">
      <c r="A54" s="10">
        <v>56</v>
      </c>
      <c r="B54" s="36" t="s">
        <v>195</v>
      </c>
      <c r="C54" s="37" t="s">
        <v>196</v>
      </c>
      <c r="D54" s="37" t="s">
        <v>1005</v>
      </c>
      <c r="E54" s="39">
        <f t="shared" si="5"/>
        <v>10581.818181818184</v>
      </c>
      <c r="F54" s="35">
        <v>43743</v>
      </c>
      <c r="G54" s="36">
        <v>5</v>
      </c>
      <c r="H54" s="38">
        <v>0.4</v>
      </c>
      <c r="I54" s="36">
        <v>1.37</v>
      </c>
      <c r="J54" s="36">
        <v>2.75</v>
      </c>
      <c r="K54" s="36">
        <v>2.91</v>
      </c>
      <c r="L54" s="47">
        <f t="shared" si="6"/>
        <v>1.1640000000000001</v>
      </c>
      <c r="M54" s="47"/>
      <c r="N54" s="47"/>
      <c r="O54" s="106"/>
    </row>
    <row r="55" spans="1:17" ht="28.5" x14ac:dyDescent="0.2">
      <c r="A55" s="10">
        <v>68</v>
      </c>
      <c r="B55" s="36" t="s">
        <v>173</v>
      </c>
      <c r="C55" s="37" t="s">
        <v>174</v>
      </c>
      <c r="D55" s="37" t="s">
        <v>234</v>
      </c>
      <c r="E55" s="39">
        <f t="shared" si="5"/>
        <v>15517.241379310348</v>
      </c>
      <c r="F55" s="35">
        <v>43777</v>
      </c>
      <c r="G55" s="36">
        <v>8</v>
      </c>
      <c r="H55" s="38">
        <v>1</v>
      </c>
      <c r="I55" s="36">
        <v>0.69</v>
      </c>
      <c r="J55" s="36">
        <v>1.74</v>
      </c>
      <c r="K55" s="36">
        <v>2.7</v>
      </c>
      <c r="L55" s="47">
        <f t="shared" si="6"/>
        <v>2.7</v>
      </c>
      <c r="M55" s="47">
        <f>J55*10000*35000/100000000</f>
        <v>6.09</v>
      </c>
      <c r="N55" s="47">
        <f>(M55-K55-(J55*4500/10000)-K55*0.08)</f>
        <v>2.3909999999999996</v>
      </c>
      <c r="O55" s="106">
        <f t="shared" ref="O55:O72" si="7">N55/M55</f>
        <v>0.39261083743842357</v>
      </c>
      <c r="P55" s="42" t="s">
        <v>1003</v>
      </c>
      <c r="Q55" s="70" t="s">
        <v>1002</v>
      </c>
    </row>
    <row r="56" spans="1:17" ht="28.5" x14ac:dyDescent="0.2">
      <c r="A56" s="10">
        <v>35</v>
      </c>
      <c r="B56" s="36" t="s">
        <v>148</v>
      </c>
      <c r="C56" s="37" t="s">
        <v>197</v>
      </c>
      <c r="D56" s="40" t="s">
        <v>253</v>
      </c>
      <c r="E56" s="39">
        <f t="shared" si="5"/>
        <v>4493.2432432432433</v>
      </c>
      <c r="F56" s="35">
        <v>43679</v>
      </c>
      <c r="G56" s="36">
        <v>2</v>
      </c>
      <c r="H56" s="38">
        <v>0.3</v>
      </c>
      <c r="I56" s="36">
        <v>3.46</v>
      </c>
      <c r="J56" s="36">
        <f>4.42+1.5</f>
        <v>5.92</v>
      </c>
      <c r="K56" s="36">
        <v>2.66</v>
      </c>
      <c r="L56" s="47">
        <f t="shared" si="6"/>
        <v>0.79800000000000004</v>
      </c>
      <c r="M56" s="47">
        <f>J56*10000*14500/100000000</f>
        <v>8.5839999999999996</v>
      </c>
      <c r="N56" s="47">
        <f>(M56-K56-(J56*4500/10000)-K56*0.08)</f>
        <v>3.0471999999999992</v>
      </c>
      <c r="O56" s="106">
        <f t="shared" si="7"/>
        <v>0.35498602050326183</v>
      </c>
      <c r="P56" s="42" t="s">
        <v>1015</v>
      </c>
      <c r="Q56" s="70" t="s">
        <v>1014</v>
      </c>
    </row>
    <row r="57" spans="1:17" x14ac:dyDescent="0.2">
      <c r="A57" s="10">
        <v>33</v>
      </c>
      <c r="B57" s="36" t="s">
        <v>202</v>
      </c>
      <c r="C57" s="37" t="s">
        <v>203</v>
      </c>
      <c r="D57" s="40" t="s">
        <v>904</v>
      </c>
      <c r="E57" s="39">
        <f t="shared" si="5"/>
        <v>856.85483870967732</v>
      </c>
      <c r="F57" s="35">
        <v>43652</v>
      </c>
      <c r="G57" s="36">
        <v>6</v>
      </c>
      <c r="H57" s="38">
        <v>0.2</v>
      </c>
      <c r="I57" s="36">
        <v>9.2100000000000009</v>
      </c>
      <c r="J57" s="36">
        <v>29.76</v>
      </c>
      <c r="K57" s="36">
        <v>2.5499999999999998</v>
      </c>
      <c r="L57" s="47">
        <f t="shared" si="6"/>
        <v>0.51</v>
      </c>
      <c r="M57" s="47">
        <f>J57*10000*6000/100000000</f>
        <v>17.856000000000002</v>
      </c>
      <c r="N57" s="47">
        <f>(M57-K57-(J57*3000/10000)-K57*0.08)</f>
        <v>6.1740000000000004</v>
      </c>
      <c r="O57" s="106">
        <f t="shared" si="7"/>
        <v>0.34576612903225806</v>
      </c>
      <c r="P57" s="42" t="s">
        <v>906</v>
      </c>
      <c r="Q57" s="70" t="s">
        <v>905</v>
      </c>
    </row>
    <row r="58" spans="1:17" x14ac:dyDescent="0.2">
      <c r="A58" s="10">
        <v>64</v>
      </c>
      <c r="B58" s="36" t="s">
        <v>226</v>
      </c>
      <c r="C58" s="37" t="s">
        <v>228</v>
      </c>
      <c r="D58" s="37" t="s">
        <v>227</v>
      </c>
      <c r="E58" s="39">
        <f t="shared" si="5"/>
        <v>2011.0847189231986</v>
      </c>
      <c r="F58" s="35">
        <v>43773</v>
      </c>
      <c r="G58" s="36">
        <v>4</v>
      </c>
      <c r="H58" s="38">
        <v>0.75</v>
      </c>
      <c r="I58" s="36">
        <v>4.1399999999999997</v>
      </c>
      <c r="J58" s="36">
        <f>10.13+2.5</f>
        <v>12.63</v>
      </c>
      <c r="K58" s="36">
        <v>2.54</v>
      </c>
      <c r="L58" s="47">
        <f t="shared" si="6"/>
        <v>1.905</v>
      </c>
      <c r="M58" s="47">
        <f>J58*10000*10500/100000000</f>
        <v>13.261500000000002</v>
      </c>
      <c r="N58" s="47">
        <f>(M58-K58-(J58*4000/10000)-K58*0.08)</f>
        <v>5.466300000000003</v>
      </c>
      <c r="O58" s="106">
        <f t="shared" si="7"/>
        <v>0.41219319081551881</v>
      </c>
      <c r="P58" s="42" t="s">
        <v>967</v>
      </c>
      <c r="Q58" s="70" t="s">
        <v>966</v>
      </c>
    </row>
    <row r="59" spans="1:17" x14ac:dyDescent="0.2">
      <c r="A59" s="10">
        <v>74</v>
      </c>
      <c r="B59" s="36" t="s">
        <v>202</v>
      </c>
      <c r="C59" s="37" t="s">
        <v>241</v>
      </c>
      <c r="D59" s="40" t="s">
        <v>1016</v>
      </c>
      <c r="E59" s="39">
        <f t="shared" si="5"/>
        <v>5478.2608695652179</v>
      </c>
      <c r="F59" s="35">
        <v>43805</v>
      </c>
      <c r="G59" s="36">
        <v>6</v>
      </c>
      <c r="H59" s="38">
        <v>0.8</v>
      </c>
      <c r="I59" s="36">
        <v>0.69</v>
      </c>
      <c r="J59" s="36">
        <v>4.5999999999999996</v>
      </c>
      <c r="K59" s="36">
        <v>2.52</v>
      </c>
      <c r="L59" s="47">
        <f t="shared" si="6"/>
        <v>2.016</v>
      </c>
      <c r="M59" s="47">
        <f>J59*10000*13000/100000000</f>
        <v>5.98</v>
      </c>
      <c r="N59" s="47">
        <f>(M59-K59-(J59*4000/10000)-K59*0.08)</f>
        <v>1.4184000000000003</v>
      </c>
      <c r="O59" s="106">
        <f t="shared" si="7"/>
        <v>0.23719063545150507</v>
      </c>
      <c r="P59" s="42" t="s">
        <v>1018</v>
      </c>
      <c r="Q59" s="70" t="s">
        <v>1017</v>
      </c>
    </row>
    <row r="60" spans="1:17" s="126" customFormat="1" x14ac:dyDescent="0.2">
      <c r="A60" s="10">
        <v>9</v>
      </c>
      <c r="B60" s="36" t="s">
        <v>147</v>
      </c>
      <c r="C60" s="37" t="s">
        <v>175</v>
      </c>
      <c r="D60" s="37" t="s">
        <v>242</v>
      </c>
      <c r="E60" s="39">
        <f t="shared" si="5"/>
        <v>872.48322147651004</v>
      </c>
      <c r="F60" s="35">
        <v>43529</v>
      </c>
      <c r="G60" s="36">
        <v>5</v>
      </c>
      <c r="H60" s="38">
        <v>0.65</v>
      </c>
      <c r="I60" s="36">
        <v>19.53</v>
      </c>
      <c r="J60" s="36">
        <f>26.33-1</f>
        <v>25.33</v>
      </c>
      <c r="K60" s="36">
        <v>2.21</v>
      </c>
      <c r="L60" s="47">
        <f t="shared" si="6"/>
        <v>1.4365000000000001</v>
      </c>
      <c r="M60" s="47">
        <f>J60*10000*14000/100000000</f>
        <v>35.461999999999996</v>
      </c>
      <c r="N60" s="47">
        <f>(M60-K60-(J60*4500/10000)-K60*0.08)</f>
        <v>21.676699999999997</v>
      </c>
      <c r="O60" s="106">
        <f t="shared" si="7"/>
        <v>0.61126558005752629</v>
      </c>
      <c r="P60" s="42" t="s">
        <v>897</v>
      </c>
      <c r="Q60" s="70" t="s">
        <v>896</v>
      </c>
    </row>
    <row r="61" spans="1:17" x14ac:dyDescent="0.2">
      <c r="A61" s="10">
        <v>49</v>
      </c>
      <c r="B61" s="36" t="s">
        <v>215</v>
      </c>
      <c r="C61" s="37" t="s">
        <v>216</v>
      </c>
      <c r="D61" s="37" t="s">
        <v>925</v>
      </c>
      <c r="E61" s="39">
        <f t="shared" si="5"/>
        <v>1304.6272493573263</v>
      </c>
      <c r="F61" s="35">
        <v>43715</v>
      </c>
      <c r="G61" s="36">
        <v>7</v>
      </c>
      <c r="H61" s="38">
        <v>1</v>
      </c>
      <c r="I61" s="36">
        <v>5.19</v>
      </c>
      <c r="J61" s="36">
        <v>15.56</v>
      </c>
      <c r="K61" s="36">
        <v>2.0299999999999998</v>
      </c>
      <c r="L61" s="47">
        <f t="shared" si="6"/>
        <v>2.0299999999999998</v>
      </c>
      <c r="M61" s="47">
        <f>J61*10000*6200/100000000</f>
        <v>9.6471999999999998</v>
      </c>
      <c r="N61" s="47">
        <f>(M61-K61-(J61*3000/10000)-K61*0.08)</f>
        <v>2.7868000000000004</v>
      </c>
      <c r="O61" s="106">
        <f t="shared" si="7"/>
        <v>0.28887138237001414</v>
      </c>
      <c r="P61" s="42" t="s">
        <v>927</v>
      </c>
      <c r="Q61" s="70" t="s">
        <v>926</v>
      </c>
    </row>
    <row r="62" spans="1:17" s="108" customFormat="1" x14ac:dyDescent="0.2">
      <c r="A62" s="10">
        <v>10</v>
      </c>
      <c r="B62" s="36" t="s">
        <v>176</v>
      </c>
      <c r="C62" s="37" t="s">
        <v>177</v>
      </c>
      <c r="D62" s="37" t="s">
        <v>898</v>
      </c>
      <c r="E62" s="39">
        <f t="shared" si="5"/>
        <v>1501.9455252918287</v>
      </c>
      <c r="F62" s="35">
        <v>43530</v>
      </c>
      <c r="G62" s="36">
        <v>6</v>
      </c>
      <c r="H62" s="38">
        <v>1</v>
      </c>
      <c r="I62" s="36">
        <v>7.14</v>
      </c>
      <c r="J62" s="36">
        <v>12.85</v>
      </c>
      <c r="K62" s="36">
        <v>1.93</v>
      </c>
      <c r="L62" s="47">
        <f t="shared" si="6"/>
        <v>1.93</v>
      </c>
      <c r="M62" s="47">
        <f>J62*10000*8000/100000000</f>
        <v>10.28</v>
      </c>
      <c r="N62" s="47">
        <f>(M62-K62-(J62*3500/10000)-K62*0.08)</f>
        <v>3.6981000000000002</v>
      </c>
      <c r="O62" s="106">
        <f t="shared" si="7"/>
        <v>0.35973735408560314</v>
      </c>
      <c r="P62" s="42" t="s">
        <v>899</v>
      </c>
      <c r="Q62" s="70" t="s">
        <v>900</v>
      </c>
    </row>
    <row r="63" spans="1:17" x14ac:dyDescent="0.2">
      <c r="A63" s="10">
        <v>58</v>
      </c>
      <c r="B63" s="36" t="s">
        <v>221</v>
      </c>
      <c r="C63" s="37" t="s">
        <v>222</v>
      </c>
      <c r="D63" s="37" t="s">
        <v>988</v>
      </c>
      <c r="E63" s="39">
        <f t="shared" si="5"/>
        <v>2123.8938053097349</v>
      </c>
      <c r="F63" s="35">
        <v>43745</v>
      </c>
      <c r="G63" s="36">
        <v>7</v>
      </c>
      <c r="H63" s="38">
        <v>0.6</v>
      </c>
      <c r="I63" s="36">
        <v>4.18</v>
      </c>
      <c r="J63" s="36">
        <f>7.34+1.7</f>
        <v>9.0399999999999991</v>
      </c>
      <c r="K63" s="36">
        <v>1.92</v>
      </c>
      <c r="L63" s="47">
        <f t="shared" si="6"/>
        <v>1.1519999999999999</v>
      </c>
      <c r="M63" s="47">
        <f>J63*10000*8700/100000000</f>
        <v>7.8647999999999989</v>
      </c>
      <c r="N63" s="47">
        <f>(M63-K63-(J63*3500/10000)-K63*0.08)</f>
        <v>2.6271999999999993</v>
      </c>
      <c r="O63" s="106">
        <f t="shared" si="7"/>
        <v>0.33404536669718232</v>
      </c>
      <c r="P63" s="42" t="s">
        <v>989</v>
      </c>
      <c r="Q63" s="70" t="s">
        <v>990</v>
      </c>
    </row>
    <row r="64" spans="1:17" x14ac:dyDescent="0.2">
      <c r="A64" s="10">
        <v>66</v>
      </c>
      <c r="B64" s="36" t="s">
        <v>231</v>
      </c>
      <c r="C64" s="37" t="s">
        <v>232</v>
      </c>
      <c r="D64" s="37" t="s">
        <v>251</v>
      </c>
      <c r="E64" s="39">
        <f t="shared" si="5"/>
        <v>1892.430278884462</v>
      </c>
      <c r="F64" s="35">
        <v>43775</v>
      </c>
      <c r="G64" s="36">
        <v>6</v>
      </c>
      <c r="H64" s="38">
        <v>0.5</v>
      </c>
      <c r="I64" s="36">
        <v>3.35</v>
      </c>
      <c r="J64" s="36">
        <f>7.54+2.5</f>
        <v>10.039999999999999</v>
      </c>
      <c r="K64" s="36">
        <v>1.9</v>
      </c>
      <c r="L64" s="47">
        <f t="shared" si="6"/>
        <v>0.95</v>
      </c>
      <c r="M64" s="47">
        <f>J64*10000*9500/100000000</f>
        <v>9.5379999999999985</v>
      </c>
      <c r="N64" s="47">
        <f>(M64-K64-(J64*4000/10000)-K64*0.08)</f>
        <v>3.469999999999998</v>
      </c>
      <c r="O64" s="106">
        <f t="shared" si="7"/>
        <v>0.36380792618997676</v>
      </c>
      <c r="P64" s="42" t="s">
        <v>987</v>
      </c>
      <c r="Q64" s="70" t="s">
        <v>986</v>
      </c>
    </row>
    <row r="65" spans="1:17" x14ac:dyDescent="0.2">
      <c r="A65" s="126">
        <v>52</v>
      </c>
      <c r="B65" s="127" t="s">
        <v>954</v>
      </c>
      <c r="C65" s="128" t="s">
        <v>955</v>
      </c>
      <c r="D65" s="128" t="s">
        <v>957</v>
      </c>
      <c r="E65" s="129">
        <f t="shared" si="5"/>
        <v>2735.1664254703328</v>
      </c>
      <c r="F65" s="130">
        <v>43739</v>
      </c>
      <c r="G65" s="127">
        <v>1</v>
      </c>
      <c r="H65" s="131">
        <v>0.6</v>
      </c>
      <c r="I65" s="127">
        <v>2.2999999999999998</v>
      </c>
      <c r="J65" s="127">
        <v>6.91</v>
      </c>
      <c r="K65" s="127">
        <v>1.89</v>
      </c>
      <c r="L65" s="132">
        <f t="shared" si="6"/>
        <v>1.1339999999999999</v>
      </c>
      <c r="M65" s="47">
        <f>J65*10000*10000/100000000</f>
        <v>6.91</v>
      </c>
      <c r="N65" s="47">
        <f>(M65-K65-(J65*3500/10000)-K65*0.08)</f>
        <v>2.4503000000000004</v>
      </c>
      <c r="O65" s="106">
        <f t="shared" si="7"/>
        <v>0.3546020260492041</v>
      </c>
      <c r="P65" s="133" t="s">
        <v>958</v>
      </c>
      <c r="Q65" s="70" t="s">
        <v>959</v>
      </c>
    </row>
    <row r="66" spans="1:17" ht="28.5" x14ac:dyDescent="0.2">
      <c r="A66" s="10">
        <v>65</v>
      </c>
      <c r="B66" s="36" t="s">
        <v>229</v>
      </c>
      <c r="C66" s="37" t="s">
        <v>230</v>
      </c>
      <c r="D66" s="37" t="s">
        <v>1006</v>
      </c>
      <c r="E66" s="39">
        <f t="shared" ref="E66:E75" si="8">K66/J66*10000</f>
        <v>2879.3103448275865</v>
      </c>
      <c r="F66" s="35">
        <v>43774</v>
      </c>
      <c r="G66" s="36">
        <v>5</v>
      </c>
      <c r="H66" s="38">
        <v>0.23</v>
      </c>
      <c r="I66" s="36">
        <v>3.24</v>
      </c>
      <c r="J66" s="36">
        <f>3.4+2.4</f>
        <v>5.8</v>
      </c>
      <c r="K66" s="36">
        <v>1.67</v>
      </c>
      <c r="L66" s="47">
        <f t="shared" ref="L66:L75" si="9">K66*H66</f>
        <v>0.3841</v>
      </c>
      <c r="M66" s="47">
        <f>J66*10000*14000/100000000</f>
        <v>8.1199999999999992</v>
      </c>
      <c r="N66" s="47">
        <f>(M66-K66-(J66*4000/10000)-K66*0.08)</f>
        <v>3.9963999999999991</v>
      </c>
      <c r="O66" s="106">
        <f t="shared" si="7"/>
        <v>0.49216748768472901</v>
      </c>
      <c r="P66" s="42" t="s">
        <v>1008</v>
      </c>
      <c r="Q66" s="70" t="s">
        <v>1007</v>
      </c>
    </row>
    <row r="67" spans="1:17" x14ac:dyDescent="0.2">
      <c r="A67" s="10">
        <v>34</v>
      </c>
      <c r="B67" s="36" t="s">
        <v>204</v>
      </c>
      <c r="C67" s="37" t="s">
        <v>152</v>
      </c>
      <c r="D67" s="37" t="s">
        <v>934</v>
      </c>
      <c r="E67" s="39">
        <f t="shared" si="8"/>
        <v>1033.9943342776205</v>
      </c>
      <c r="F67" s="35">
        <v>43678</v>
      </c>
      <c r="G67" s="36">
        <v>1</v>
      </c>
      <c r="H67" s="38">
        <v>1</v>
      </c>
      <c r="I67" s="36">
        <v>6.42</v>
      </c>
      <c r="J67" s="36">
        <v>14.12</v>
      </c>
      <c r="K67" s="36">
        <v>1.46</v>
      </c>
      <c r="L67" s="47">
        <f t="shared" si="9"/>
        <v>1.46</v>
      </c>
      <c r="M67" s="47">
        <f>J67*10000*6500/100000000</f>
        <v>9.1780000000000008</v>
      </c>
      <c r="N67" s="47">
        <f>(M67-K67-(J67*3500/10000)-K67*0.08)</f>
        <v>2.6592000000000007</v>
      </c>
      <c r="O67" s="106">
        <f t="shared" si="7"/>
        <v>0.28973632599694926</v>
      </c>
      <c r="P67" s="42" t="s">
        <v>936</v>
      </c>
      <c r="Q67" s="138" t="s">
        <v>935</v>
      </c>
    </row>
    <row r="68" spans="1:17" ht="28.5" x14ac:dyDescent="0.2">
      <c r="A68" s="10">
        <v>40</v>
      </c>
      <c r="B68" s="36" t="s">
        <v>206</v>
      </c>
      <c r="C68" s="37" t="s">
        <v>207</v>
      </c>
      <c r="D68" s="37" t="s">
        <v>246</v>
      </c>
      <c r="E68" s="39">
        <f t="shared" si="8"/>
        <v>652.57352941176464</v>
      </c>
      <c r="F68" s="35">
        <v>43684</v>
      </c>
      <c r="G68" s="36">
        <v>7</v>
      </c>
      <c r="H68" s="38">
        <v>0.6</v>
      </c>
      <c r="I68" s="36">
        <v>10.23</v>
      </c>
      <c r="J68" s="36">
        <v>21.76</v>
      </c>
      <c r="K68" s="36">
        <v>1.42</v>
      </c>
      <c r="L68" s="47">
        <f t="shared" si="9"/>
        <v>0.85199999999999998</v>
      </c>
      <c r="M68" s="47">
        <f>J68*10000*8500/100000000</f>
        <v>18.496000000000002</v>
      </c>
      <c r="N68" s="47">
        <f>(M68-K68-(J68*4500/10000)-K68*0.08)</f>
        <v>7.1704000000000008</v>
      </c>
      <c r="O68" s="106">
        <f t="shared" si="7"/>
        <v>0.38767301038062285</v>
      </c>
      <c r="P68" s="42" t="s">
        <v>913</v>
      </c>
      <c r="Q68" s="70" t="s">
        <v>912</v>
      </c>
    </row>
    <row r="69" spans="1:17" ht="28.5" x14ac:dyDescent="0.2">
      <c r="A69" s="10">
        <v>72</v>
      </c>
      <c r="B69" s="36" t="s">
        <v>238</v>
      </c>
      <c r="C69" s="37" t="s">
        <v>187</v>
      </c>
      <c r="D69" s="37" t="s">
        <v>939</v>
      </c>
      <c r="E69" s="39">
        <f t="shared" si="8"/>
        <v>765.49210206561361</v>
      </c>
      <c r="F69" s="35">
        <v>43803</v>
      </c>
      <c r="G69" s="36">
        <v>4</v>
      </c>
      <c r="H69" s="38">
        <v>1</v>
      </c>
      <c r="I69" s="36">
        <v>5.22</v>
      </c>
      <c r="J69" s="36">
        <f>13.56+2.9</f>
        <v>16.46</v>
      </c>
      <c r="K69" s="36">
        <v>1.26</v>
      </c>
      <c r="L69" s="47">
        <f t="shared" si="9"/>
        <v>1.26</v>
      </c>
      <c r="M69" s="47">
        <f>J69*10000*5300/100000000</f>
        <v>8.7238000000000007</v>
      </c>
      <c r="N69" s="47">
        <f>(M69-K69-(J69*3000/10000)-K69*0.08)</f>
        <v>2.4250000000000012</v>
      </c>
      <c r="O69" s="106">
        <f t="shared" si="7"/>
        <v>0.27797519429606377</v>
      </c>
      <c r="P69" s="42" t="s">
        <v>941</v>
      </c>
      <c r="Q69" s="70" t="s">
        <v>940</v>
      </c>
    </row>
    <row r="70" spans="1:17" x14ac:dyDescent="0.2">
      <c r="A70" s="108">
        <v>3</v>
      </c>
      <c r="B70" s="109" t="s">
        <v>998</v>
      </c>
      <c r="C70" s="134" t="s">
        <v>1061</v>
      </c>
      <c r="D70" s="97" t="s">
        <v>999</v>
      </c>
      <c r="E70" s="110">
        <f t="shared" si="8"/>
        <v>2177.7003484320558</v>
      </c>
      <c r="F70" s="111">
        <v>43466</v>
      </c>
      <c r="G70" s="109">
        <v>3</v>
      </c>
      <c r="H70" s="112">
        <v>0.8</v>
      </c>
      <c r="I70" s="109">
        <v>1.91</v>
      </c>
      <c r="J70" s="109">
        <v>5.74</v>
      </c>
      <c r="K70" s="109">
        <v>1.25</v>
      </c>
      <c r="L70" s="113">
        <f t="shared" si="9"/>
        <v>1</v>
      </c>
      <c r="M70" s="113">
        <f>J70*10000*13910/100000000</f>
        <v>7.9843400000000004</v>
      </c>
      <c r="N70" s="113">
        <f>(M70-K70-(J70*4500/10000)-K70*0.08)</f>
        <v>4.0513400000000006</v>
      </c>
      <c r="O70" s="135">
        <f t="shared" si="7"/>
        <v>0.50741075655595835</v>
      </c>
      <c r="P70" s="114" t="s">
        <v>1737</v>
      </c>
      <c r="Q70" s="136" t="s">
        <v>995</v>
      </c>
    </row>
    <row r="71" spans="1:17" x14ac:dyDescent="0.2">
      <c r="A71" s="10">
        <v>60</v>
      </c>
      <c r="B71" s="36" t="s">
        <v>162</v>
      </c>
      <c r="C71" s="37" t="s">
        <v>223</v>
      </c>
      <c r="D71" s="37" t="s">
        <v>1004</v>
      </c>
      <c r="E71" s="39">
        <f t="shared" si="8"/>
        <v>5478.72340425532</v>
      </c>
      <c r="F71" s="35">
        <v>43747</v>
      </c>
      <c r="G71" s="36">
        <v>9</v>
      </c>
      <c r="H71" s="38">
        <v>1</v>
      </c>
      <c r="I71" s="36">
        <v>0.63</v>
      </c>
      <c r="J71" s="36">
        <v>1.88</v>
      </c>
      <c r="K71" s="36">
        <v>1.03</v>
      </c>
      <c r="L71" s="47">
        <f t="shared" si="9"/>
        <v>1.03</v>
      </c>
      <c r="M71" s="47">
        <f>J71*10000*11700/100000000</f>
        <v>2.1996000000000002</v>
      </c>
      <c r="N71" s="47">
        <f>(M71-K71-(J71*4000/10000)-K71*0.08)</f>
        <v>0.33520000000000016</v>
      </c>
      <c r="O71" s="106">
        <f t="shared" si="7"/>
        <v>0.15239134388070563</v>
      </c>
      <c r="P71" s="42" t="s">
        <v>1781</v>
      </c>
      <c r="Q71" s="70"/>
    </row>
    <row r="72" spans="1:17" x14ac:dyDescent="0.2">
      <c r="A72" s="10">
        <v>55</v>
      </c>
      <c r="B72" s="36" t="s">
        <v>176</v>
      </c>
      <c r="C72" s="37" t="s">
        <v>177</v>
      </c>
      <c r="D72" s="40" t="s">
        <v>951</v>
      </c>
      <c r="E72" s="39">
        <f t="shared" si="8"/>
        <v>545.32577903682727</v>
      </c>
      <c r="F72" s="35">
        <v>43742</v>
      </c>
      <c r="G72" s="36">
        <v>4</v>
      </c>
      <c r="H72" s="38">
        <v>1</v>
      </c>
      <c r="I72" s="36">
        <v>4.45</v>
      </c>
      <c r="J72" s="36">
        <f>11.12+3</f>
        <v>14.12</v>
      </c>
      <c r="K72" s="36">
        <v>0.77</v>
      </c>
      <c r="L72" s="47">
        <f t="shared" si="9"/>
        <v>0.77</v>
      </c>
      <c r="M72" s="47">
        <f>J72*10000*7800/100000000</f>
        <v>11.0136</v>
      </c>
      <c r="N72" s="47">
        <f>(M72-K72-(J72*4500/10000)-K72*0.08)</f>
        <v>3.8280000000000007</v>
      </c>
      <c r="O72" s="106">
        <f t="shared" si="7"/>
        <v>0.34757027674874708</v>
      </c>
      <c r="P72" s="42" t="s">
        <v>953</v>
      </c>
      <c r="Q72" s="70" t="s">
        <v>952</v>
      </c>
    </row>
    <row r="73" spans="1:17" s="108" customFormat="1" x14ac:dyDescent="0.2">
      <c r="A73" s="10">
        <v>38</v>
      </c>
      <c r="B73" s="36" t="s">
        <v>178</v>
      </c>
      <c r="C73" s="37" t="s">
        <v>179</v>
      </c>
      <c r="D73" s="37" t="s">
        <v>973</v>
      </c>
      <c r="E73" s="39">
        <f t="shared" si="8"/>
        <v>707.395498392283</v>
      </c>
      <c r="F73" s="35">
        <v>43682</v>
      </c>
      <c r="G73" s="36">
        <v>5</v>
      </c>
      <c r="H73" s="38">
        <v>1</v>
      </c>
      <c r="I73" s="36">
        <v>7.78</v>
      </c>
      <c r="J73" s="36">
        <v>9.33</v>
      </c>
      <c r="K73" s="36">
        <v>0.66</v>
      </c>
      <c r="L73" s="47">
        <f t="shared" si="9"/>
        <v>0.66</v>
      </c>
      <c r="M73" s="47"/>
      <c r="N73" s="47"/>
      <c r="O73" s="106"/>
      <c r="P73" s="42" t="s">
        <v>974</v>
      </c>
      <c r="Q73" s="10"/>
    </row>
    <row r="74" spans="1:17" ht="28.5" x14ac:dyDescent="0.2">
      <c r="A74" s="108">
        <v>50</v>
      </c>
      <c r="B74" s="109" t="s">
        <v>998</v>
      </c>
      <c r="C74" s="134" t="s">
        <v>1125</v>
      </c>
      <c r="D74" s="97" t="s">
        <v>1000</v>
      </c>
      <c r="E74" s="110">
        <f t="shared" si="8"/>
        <v>2708.3333333333335</v>
      </c>
      <c r="F74" s="111">
        <v>43716</v>
      </c>
      <c r="G74" s="109">
        <v>8</v>
      </c>
      <c r="H74" s="112">
        <v>0.8</v>
      </c>
      <c r="I74" s="109">
        <v>0.8</v>
      </c>
      <c r="J74" s="109">
        <v>2.4</v>
      </c>
      <c r="K74" s="109">
        <v>0.65</v>
      </c>
      <c r="L74" s="113">
        <f t="shared" si="9"/>
        <v>0.52</v>
      </c>
      <c r="M74" s="113">
        <f>J74*10000*13910/100000000</f>
        <v>3.3384</v>
      </c>
      <c r="N74" s="113">
        <f>(M74-K74-(J74*4500/10000)-K74*0.08)</f>
        <v>1.5564</v>
      </c>
      <c r="O74" s="135">
        <f>N74/M74</f>
        <v>0.46621135873472319</v>
      </c>
      <c r="P74" s="114" t="s">
        <v>996</v>
      </c>
      <c r="Q74" s="136" t="s">
        <v>997</v>
      </c>
    </row>
    <row r="75" spans="1:17" x14ac:dyDescent="0.2">
      <c r="A75" s="10">
        <v>4</v>
      </c>
      <c r="B75" s="36" t="s">
        <v>165</v>
      </c>
      <c r="C75" s="37" t="s">
        <v>166</v>
      </c>
      <c r="D75" s="37" t="s">
        <v>1009</v>
      </c>
      <c r="E75" s="39">
        <f t="shared" si="8"/>
        <v>745.85635359116031</v>
      </c>
      <c r="F75" s="35">
        <v>43497</v>
      </c>
      <c r="G75" s="36">
        <v>1</v>
      </c>
      <c r="H75" s="38">
        <v>0.51</v>
      </c>
      <c r="I75" s="36">
        <v>1.81</v>
      </c>
      <c r="J75" s="36">
        <v>3.62</v>
      </c>
      <c r="K75" s="36">
        <v>0.27</v>
      </c>
      <c r="L75" s="47">
        <f t="shared" si="9"/>
        <v>0.13770000000000002</v>
      </c>
      <c r="M75" s="47"/>
      <c r="N75" s="47"/>
      <c r="O75" s="106"/>
    </row>
    <row r="76" spans="1:17" x14ac:dyDescent="0.2">
      <c r="B76" s="36"/>
      <c r="C76" s="37"/>
      <c r="D76" s="37"/>
      <c r="E76" s="39"/>
      <c r="F76" s="35"/>
      <c r="G76" s="36"/>
      <c r="H76" s="38"/>
      <c r="I76" s="36"/>
      <c r="J76" s="36"/>
      <c r="K76" s="36"/>
      <c r="L76" s="47"/>
      <c r="M76" s="47"/>
      <c r="N76" s="47"/>
      <c r="O76" s="106"/>
    </row>
    <row r="78" spans="1:17" x14ac:dyDescent="0.2">
      <c r="L78" s="48" t="s">
        <v>1019</v>
      </c>
      <c r="M78" s="48">
        <f>SUM(M2:M75)</f>
        <v>1510.7906000000007</v>
      </c>
      <c r="N78" s="48">
        <f>SUM(N2:N75)</f>
        <v>512.86170000000016</v>
      </c>
      <c r="O78" s="115">
        <f>N78/M78</f>
        <v>0.33946577374786413</v>
      </c>
    </row>
  </sheetData>
  <autoFilter ref="A1:Q75" xr:uid="{5D175281-4679-4898-ADD0-C66572327B81}">
    <sortState xmlns:xlrd2="http://schemas.microsoft.com/office/spreadsheetml/2017/richdata2" ref="A2:Q75">
      <sortCondition descending="1" ref="K1:K75"/>
    </sortState>
  </autoFilter>
  <phoneticPr fontId="5" type="noConversion"/>
  <hyperlinks>
    <hyperlink ref="Q8" r:id="rId1" xr:uid="{DDBE8F26-E980-4CF9-BCC4-506582278D9E}"/>
    <hyperlink ref="Q38" r:id="rId2" xr:uid="{81FBA9BC-6AEC-41AD-9381-B446EE3F7B8A}"/>
    <hyperlink ref="Q9" r:id="rId3" xr:uid="{4F4EAAF6-D281-413B-A255-1A0208A631F8}"/>
    <hyperlink ref="Q2" r:id="rId4" xr:uid="{07A1CA48-BD7A-4224-9A20-57CF064196C9}"/>
    <hyperlink ref="Q3" r:id="rId5" xr:uid="{B41670B4-7287-483E-A8A2-8A9D220B9DB2}"/>
    <hyperlink ref="Q32" r:id="rId6" xr:uid="{7E4AA5AE-47EF-4890-BD13-DF16713C0311}"/>
    <hyperlink ref="Q16" r:id="rId7" xr:uid="{7C89A019-7A91-4BE2-89AB-D16C6FE1AA43}"/>
    <hyperlink ref="Q26" r:id="rId8" xr:uid="{75B4ED19-C36E-4198-87B4-F24BA14023CB}"/>
    <hyperlink ref="Q11" r:id="rId9" xr:uid="{E09449FA-5611-446B-8235-3DC66BD6DF65}"/>
    <hyperlink ref="Q7" r:id="rId10" xr:uid="{4D49C5DD-B710-4452-8058-3AA30EE7D7F2}"/>
    <hyperlink ref="Q29" r:id="rId11" xr:uid="{FD9ACF65-C1CF-4DD5-A55B-8ECC7F7E988B}"/>
    <hyperlink ref="Q4" r:id="rId12" xr:uid="{7820A456-5A2D-4FAA-BAB6-8CEDC7363E6C}"/>
    <hyperlink ref="Q20" r:id="rId13" xr:uid="{2B31679C-0407-45C7-85C1-E2F769C91B65}"/>
    <hyperlink ref="Q5" r:id="rId14" xr:uid="{93E73E67-0300-4E75-A949-ED24619626A8}"/>
    <hyperlink ref="Q6" r:id="rId15" xr:uid="{D6BF89B5-E4B0-4E00-9228-8CE2AC480CD8}"/>
    <hyperlink ref="Q23" r:id="rId16" xr:uid="{2CDB7717-1C71-4E0B-BE8C-53E8B9AE9975}"/>
    <hyperlink ref="Q24" r:id="rId17" xr:uid="{AEF775A2-C926-410F-A0CD-B92000B62FF7}"/>
    <hyperlink ref="Q31" r:id="rId18" xr:uid="{C2E94EB9-E0FF-4E58-A032-D5D7B7BBE5E1}"/>
    <hyperlink ref="Q14" r:id="rId19" xr:uid="{2A53C8C0-0B59-44A9-9774-5CC8085B1F15}"/>
    <hyperlink ref="Q34" r:id="rId20" xr:uid="{27B2B84C-7273-4578-A7B6-282F42240C45}"/>
    <hyperlink ref="Q10" r:id="rId21" xr:uid="{235FFF33-4AE1-4DA9-A29F-45BE3232F7C3}"/>
    <hyperlink ref="Q19" r:id="rId22" xr:uid="{5A10A457-126A-4B6E-BC92-915375B24067}"/>
    <hyperlink ref="Q21" r:id="rId23" xr:uid="{108AFDA0-8BC5-475A-A9ED-8C692B638F27}"/>
    <hyperlink ref="Q60" r:id="rId24" xr:uid="{113A16FF-D990-4F0E-B1BE-DF592A726454}"/>
    <hyperlink ref="Q62" r:id="rId25" xr:uid="{A799DC65-C95E-485A-AECA-90001476202E}"/>
    <hyperlink ref="Q28" r:id="rId26" xr:uid="{8AC88784-E306-403B-B2AF-182D95FB713A}"/>
    <hyperlink ref="Q57" r:id="rId27" xr:uid="{7A2DB236-5316-4450-A204-803E48EDBB96}"/>
    <hyperlink ref="Q15" r:id="rId28" xr:uid="{C6E5E21D-150A-4CEB-A43C-FE992D99A825}"/>
    <hyperlink ref="Q50" r:id="rId29" xr:uid="{9F129E87-55D8-4E2B-A4D9-B19271ED514D}"/>
    <hyperlink ref="Q68" r:id="rId30" xr:uid="{35EA2AF2-C022-4AA0-BB80-C57FCD89198D}"/>
    <hyperlink ref="Q13" r:id="rId31" xr:uid="{A53BA810-983D-48DB-B55A-DD9DD1B35913}"/>
    <hyperlink ref="Q36" r:id="rId32" xr:uid="{840F65E6-BABA-4334-8745-C234029DFCC5}"/>
    <hyperlink ref="Q12" r:id="rId33" xr:uid="{50810944-4FCA-48C8-B662-64AE57CB2730}"/>
    <hyperlink ref="Q45" r:id="rId34" xr:uid="{E01B5503-02EC-4F0E-9DF7-1F3D6312A17B}"/>
    <hyperlink ref="Q61" r:id="rId35" xr:uid="{5EB1ECDD-F09E-4803-B79F-FEFF3F191038}"/>
    <hyperlink ref="Q52" r:id="rId36" xr:uid="{6EDB5F16-C2B3-4B29-A47E-771326338307}"/>
    <hyperlink ref="Q47" r:id="rId37" xr:uid="{42364AA8-08D4-4AC4-9594-576B3303E98F}"/>
    <hyperlink ref="Q67" r:id="rId38" xr:uid="{F49EEE1B-B0E4-46E1-8656-F62471F55C84}"/>
    <hyperlink ref="Q30" r:id="rId39" xr:uid="{1E6F59A7-F9E1-4806-A34C-B5536988530D}"/>
    <hyperlink ref="Q69" r:id="rId40" xr:uid="{86221278-BA94-41BA-8751-1166517ECFB2}"/>
    <hyperlink ref="Q22" r:id="rId41" xr:uid="{3408AA04-6BBF-48C7-94BF-5B1ADBCC419B}"/>
    <hyperlink ref="Q25" r:id="rId42" xr:uid="{8CB4F5CE-2E63-46AF-AC7F-E70A17603392}"/>
    <hyperlink ref="Q17" r:id="rId43" xr:uid="{2D00CD7D-4E6B-4EE4-A792-90368D2A58CB}"/>
    <hyperlink ref="Q72" r:id="rId44" xr:uid="{11C21F24-EC72-4196-B6BB-83F25C8A9607}"/>
    <hyperlink ref="Q48" r:id="rId45" xr:uid="{8ED7C77C-00C5-41D5-8CF2-D67C05A97299}"/>
    <hyperlink ref="Q65" r:id="rId46" xr:uid="{95354DF4-826F-4DD3-9AE0-D1ADE00EEB97}"/>
    <hyperlink ref="Q18" r:id="rId47" xr:uid="{E0906A59-34A7-4065-AAD8-2AA42F1DC801}"/>
    <hyperlink ref="Q53" r:id="rId48" xr:uid="{0BD0A7D6-A71C-41A8-B72E-0C47350B3554}"/>
    <hyperlink ref="Q58" r:id="rId49" xr:uid="{A7EE3DF3-C439-48E1-8E33-BB73FF590786}"/>
    <hyperlink ref="Q41" r:id="rId50" xr:uid="{31D89938-F0FB-4216-B0D8-5D7CC3A26C15}"/>
    <hyperlink ref="Q40" r:id="rId51" xr:uid="{91602B9A-C9BA-47BC-B611-89D38A6B65B8}"/>
    <hyperlink ref="Q44" r:id="rId52" xr:uid="{45CE3780-E2D4-43FF-B1F4-2C38F2BE771A}"/>
    <hyperlink ref="Q37" r:id="rId53" xr:uid="{ADFA2025-6F0B-48CD-B25E-79B265B7C7C9}"/>
    <hyperlink ref="Q33" r:id="rId54" xr:uid="{06CE853E-ED00-48AE-B71C-4945124C35CB}"/>
    <hyperlink ref="Q35" r:id="rId55" xr:uid="{B9428B0B-1385-4416-A907-02553F01B147}"/>
    <hyperlink ref="Q49" r:id="rId56" xr:uid="{0555B8BE-8C2E-42BE-9A99-FA99B9A389F6}"/>
    <hyperlink ref="Q64" r:id="rId57" xr:uid="{6CF3558F-473E-447C-9827-D45E1A5CFD3B}"/>
    <hyperlink ref="Q63" r:id="rId58" xr:uid="{71C8EE97-1A44-412C-A6C8-243F3E9DE240}"/>
    <hyperlink ref="Q42" r:id="rId59" xr:uid="{12F0DF7E-E38C-4147-BA95-D086BEB4D911}"/>
    <hyperlink ref="Q51" r:id="rId60" xr:uid="{88980CA5-FB97-4C0D-B9BC-638007A0FB59}"/>
    <hyperlink ref="Q70" r:id="rId61" xr:uid="{85AE1D0C-89A6-41A2-B31A-43AA7716C760}"/>
    <hyperlink ref="Q74" r:id="rId62" xr:uid="{ADC187FD-220F-443A-ADC9-80B1210FD890}"/>
    <hyperlink ref="Q55" r:id="rId63" xr:uid="{6925A450-7D40-4FFE-8FAE-9C80E545E834}"/>
    <hyperlink ref="Q66" r:id="rId64" xr:uid="{B9FDD6A2-57FD-40EA-834D-01D10FEDE591}"/>
    <hyperlink ref="Q39" r:id="rId65" xr:uid="{E191BA80-C5AB-4BC6-BB1C-DE6ADF4C7D67}"/>
    <hyperlink ref="Q43" r:id="rId66" xr:uid="{BB295E9C-04E2-41EB-B8A7-D62DBEE68967}"/>
    <hyperlink ref="Q56" r:id="rId67" xr:uid="{53DEAAC6-9931-4634-8466-675120ADD67D}"/>
    <hyperlink ref="Q59" r:id="rId68" xr:uid="{6D198FD4-E8A3-41E5-B173-76E53F811809}"/>
    <hyperlink ref="Q46" r:id="rId69" xr:uid="{A612CD27-710C-4BAE-B220-87EB40877BF1}"/>
  </hyperlinks>
  <pageMargins left="0.7" right="0.7" top="0.75" bottom="0.75" header="0.3" footer="0.3"/>
  <pageSetup paperSize="9" orientation="portrait" r:id="rId7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F762-4E3E-4D17-9E78-DC8FBA7F38BF}">
  <dimension ref="A1:P116"/>
  <sheetViews>
    <sheetView zoomScaleNormal="100" workbookViewId="0">
      <pane ySplit="1" topLeftCell="A86" activePane="bottomLeft" state="frozen"/>
      <selection pane="bottomLeft" activeCell="K100" sqref="K100"/>
    </sheetView>
  </sheetViews>
  <sheetFormatPr defaultRowHeight="14.25" x14ac:dyDescent="0.2"/>
  <cols>
    <col min="1" max="1" width="6.875" style="293" customWidth="1"/>
    <col min="2" max="2" width="9.125" style="294" customWidth="1"/>
    <col min="3" max="3" width="23.625" style="294" customWidth="1"/>
    <col min="4" max="4" width="11.25" style="295" customWidth="1"/>
    <col min="5" max="5" width="11.375" style="213" customWidth="1"/>
    <col min="6" max="6" width="6" style="25" hidden="1" customWidth="1"/>
    <col min="7" max="7" width="7.875" style="293" customWidth="1"/>
    <col min="8" max="8" width="9.375" style="268" customWidth="1"/>
    <col min="9" max="9" width="11.375" style="268" customWidth="1"/>
    <col min="10" max="10" width="8.625" style="268" customWidth="1"/>
    <col min="11" max="11" width="9.25" style="268" customWidth="1"/>
    <col min="12" max="12" width="10" style="268" customWidth="1"/>
    <col min="13" max="13" width="8.75" style="304" customWidth="1"/>
    <col min="14" max="14" width="8.75" style="305" customWidth="1"/>
    <col min="15" max="15" width="49.875" style="37" customWidth="1"/>
    <col min="16" max="16" width="45.25" style="36" customWidth="1"/>
    <col min="17" max="16384" width="9" style="268"/>
  </cols>
  <sheetData>
    <row r="1" spans="1:16" s="251" customFormat="1" ht="28.5" x14ac:dyDescent="0.2">
      <c r="A1" s="243" t="s">
        <v>19</v>
      </c>
      <c r="B1" s="239" t="s">
        <v>21</v>
      </c>
      <c r="C1" s="239" t="s">
        <v>20</v>
      </c>
      <c r="D1" s="244" t="s">
        <v>24</v>
      </c>
      <c r="E1" s="245" t="s">
        <v>1060</v>
      </c>
      <c r="F1" s="230" t="s">
        <v>18</v>
      </c>
      <c r="G1" s="243" t="s">
        <v>22</v>
      </c>
      <c r="H1" s="239" t="s">
        <v>589</v>
      </c>
      <c r="I1" s="239" t="s">
        <v>23</v>
      </c>
      <c r="J1" s="246" t="s">
        <v>590</v>
      </c>
      <c r="K1" s="247" t="s">
        <v>256</v>
      </c>
      <c r="L1" s="248" t="s">
        <v>839</v>
      </c>
      <c r="M1" s="249" t="s">
        <v>838</v>
      </c>
      <c r="N1" s="250" t="s">
        <v>840</v>
      </c>
      <c r="O1" s="248" t="s">
        <v>559</v>
      </c>
      <c r="P1" s="248" t="s">
        <v>560</v>
      </c>
    </row>
    <row r="2" spans="1:16" s="78" customFormat="1" x14ac:dyDescent="0.2">
      <c r="A2" s="310" t="s">
        <v>830</v>
      </c>
      <c r="B2" s="312" t="s">
        <v>717</v>
      </c>
      <c r="C2" s="312" t="s">
        <v>1022</v>
      </c>
      <c r="D2" s="73">
        <f>J2/I2*10000</f>
        <v>1820.464532328939</v>
      </c>
      <c r="E2" s="233">
        <v>43831</v>
      </c>
      <c r="F2" s="100">
        <v>1</v>
      </c>
      <c r="G2" s="314">
        <v>0.75</v>
      </c>
      <c r="H2" s="316">
        <v>10.37</v>
      </c>
      <c r="I2" s="316">
        <v>15.93</v>
      </c>
      <c r="J2" s="317">
        <v>2.9</v>
      </c>
      <c r="K2" s="96">
        <f t="shared" ref="K2:K33" si="0">J2*G2</f>
        <v>2.1749999999999998</v>
      </c>
      <c r="L2" s="142">
        <f>I2*10000*7000/100000000</f>
        <v>11.151</v>
      </c>
      <c r="M2" s="143">
        <f>(L2-J2-(I2*3500/10000)-J2*0.08)</f>
        <v>2.4434999999999993</v>
      </c>
      <c r="N2" s="144">
        <f t="shared" ref="N2:N7" si="1">M2/L2</f>
        <v>0.21912832929782078</v>
      </c>
      <c r="O2" s="148" t="s">
        <v>1021</v>
      </c>
      <c r="P2" s="149" t="s">
        <v>734</v>
      </c>
    </row>
    <row r="3" spans="1:16" s="25" customFormat="1" x14ac:dyDescent="0.2">
      <c r="A3" s="19" t="s">
        <v>26</v>
      </c>
      <c r="B3" s="19" t="s">
        <v>27</v>
      </c>
      <c r="C3" s="19" t="s">
        <v>7</v>
      </c>
      <c r="D3" s="21">
        <f>(2506+4142)/2</f>
        <v>3324</v>
      </c>
      <c r="E3" s="18">
        <v>43832</v>
      </c>
      <c r="F3" s="1">
        <v>2</v>
      </c>
      <c r="G3" s="2">
        <v>1</v>
      </c>
      <c r="H3" s="3">
        <v>7.12</v>
      </c>
      <c r="I3" s="3">
        <v>12.36</v>
      </c>
      <c r="J3" s="4">
        <v>4.74</v>
      </c>
      <c r="K3" s="11">
        <f t="shared" si="0"/>
        <v>4.74</v>
      </c>
      <c r="L3" s="142">
        <f>I3*10000*15000/100000000</f>
        <v>18.54</v>
      </c>
      <c r="M3" s="143">
        <f>(L3-J3-(I3*4500/10000)-J3*0.08)</f>
        <v>7.8587999999999996</v>
      </c>
      <c r="N3" s="144">
        <f t="shared" si="1"/>
        <v>0.42388349514563106</v>
      </c>
      <c r="O3" s="86" t="s">
        <v>1750</v>
      </c>
      <c r="P3" s="68" t="s">
        <v>1749</v>
      </c>
    </row>
    <row r="4" spans="1:16" s="25" customFormat="1" x14ac:dyDescent="0.2">
      <c r="A4" s="19" t="s">
        <v>26</v>
      </c>
      <c r="B4" s="19" t="s">
        <v>27</v>
      </c>
      <c r="C4" s="19" t="s">
        <v>553</v>
      </c>
      <c r="D4" s="21">
        <f>(2717+4282)/2</f>
        <v>3499.5</v>
      </c>
      <c r="E4" s="18">
        <v>43833</v>
      </c>
      <c r="F4" s="1">
        <v>3</v>
      </c>
      <c r="G4" s="2">
        <v>1</v>
      </c>
      <c r="H4" s="3">
        <v>11.59</v>
      </c>
      <c r="I4" s="3">
        <v>19.77</v>
      </c>
      <c r="J4" s="4">
        <v>7.62</v>
      </c>
      <c r="K4" s="11">
        <f t="shared" si="0"/>
        <v>7.62</v>
      </c>
      <c r="L4" s="142">
        <f>I4*10000*15000/100000000</f>
        <v>29.655000000000001</v>
      </c>
      <c r="M4" s="143">
        <f>(L4-J4-(I4*4500/10000)-J4*0.08)</f>
        <v>12.5289</v>
      </c>
      <c r="N4" s="144">
        <f t="shared" si="1"/>
        <v>0.42248861911987862</v>
      </c>
      <c r="O4" s="86" t="s">
        <v>667</v>
      </c>
      <c r="P4" s="68" t="s">
        <v>770</v>
      </c>
    </row>
    <row r="5" spans="1:16" s="170" customFormat="1" x14ac:dyDescent="0.2">
      <c r="A5" s="160" t="s">
        <v>1091</v>
      </c>
      <c r="B5" s="160" t="s">
        <v>1092</v>
      </c>
      <c r="C5" s="161" t="s">
        <v>1093</v>
      </c>
      <c r="D5" s="162">
        <v>10278</v>
      </c>
      <c r="E5" s="163">
        <v>43862</v>
      </c>
      <c r="F5" s="164">
        <v>1</v>
      </c>
      <c r="G5" s="165">
        <v>1</v>
      </c>
      <c r="H5" s="160">
        <v>4.1500000000000004</v>
      </c>
      <c r="I5" s="160">
        <f>10.38+2.6</f>
        <v>12.98</v>
      </c>
      <c r="J5" s="166">
        <v>4.7699999999999996</v>
      </c>
      <c r="K5" s="167">
        <f t="shared" si="0"/>
        <v>4.7699999999999996</v>
      </c>
      <c r="L5" s="167">
        <f>I5*10000*19000/100000000</f>
        <v>24.661999999999999</v>
      </c>
      <c r="M5" s="168">
        <f>(L5-J5-(I5*4500/10000)-J5*0.08)</f>
        <v>13.669399999999998</v>
      </c>
      <c r="N5" s="169">
        <f t="shared" si="1"/>
        <v>0.55426972670505226</v>
      </c>
      <c r="O5" s="171" t="s">
        <v>1094</v>
      </c>
      <c r="P5" s="172" t="s">
        <v>605</v>
      </c>
    </row>
    <row r="6" spans="1:16" s="25" customFormat="1" x14ac:dyDescent="0.2">
      <c r="A6" s="19" t="s">
        <v>31</v>
      </c>
      <c r="B6" s="19" t="s">
        <v>32</v>
      </c>
      <c r="C6" s="65" t="s">
        <v>681</v>
      </c>
      <c r="D6" s="307">
        <f t="shared" ref="D6:D16" si="2">J6/I6*10000</f>
        <v>3020.6677265500794</v>
      </c>
      <c r="E6" s="18">
        <v>43863</v>
      </c>
      <c r="F6" s="1">
        <v>2</v>
      </c>
      <c r="G6" s="2">
        <v>0.5</v>
      </c>
      <c r="H6" s="3">
        <v>6.29</v>
      </c>
      <c r="I6" s="3">
        <v>6.29</v>
      </c>
      <c r="J6" s="4">
        <v>1.9</v>
      </c>
      <c r="K6" s="11">
        <f t="shared" si="0"/>
        <v>0.95</v>
      </c>
      <c r="L6" s="142">
        <f>I6*10000*10000/100000000</f>
        <v>6.29</v>
      </c>
      <c r="M6" s="143">
        <f>(L6-J6-(I6*4000/10000)-J6*0.08)</f>
        <v>1.7220000000000006</v>
      </c>
      <c r="N6" s="144">
        <f t="shared" si="1"/>
        <v>0.27376788553259152</v>
      </c>
      <c r="O6" s="338" t="s">
        <v>1023</v>
      </c>
      <c r="P6" s="138" t="s">
        <v>682</v>
      </c>
    </row>
    <row r="7" spans="1:16" s="25" customFormat="1" x14ac:dyDescent="0.2">
      <c r="A7" s="19" t="s">
        <v>33</v>
      </c>
      <c r="B7" s="19" t="s">
        <v>34</v>
      </c>
      <c r="C7" s="19" t="s">
        <v>8</v>
      </c>
      <c r="D7" s="20">
        <f t="shared" si="2"/>
        <v>3893.6309914642152</v>
      </c>
      <c r="E7" s="18">
        <v>43864</v>
      </c>
      <c r="F7" s="1">
        <v>3</v>
      </c>
      <c r="G7" s="2">
        <v>0.53</v>
      </c>
      <c r="H7" s="3">
        <v>7.54</v>
      </c>
      <c r="I7" s="3">
        <v>15.23</v>
      </c>
      <c r="J7" s="4">
        <v>5.93</v>
      </c>
      <c r="K7" s="11">
        <f t="shared" si="0"/>
        <v>3.1429</v>
      </c>
      <c r="L7" s="142">
        <f>I7*10000*15000/100000000</f>
        <v>22.844999999999999</v>
      </c>
      <c r="M7" s="143">
        <f>(L7-J7-(I7*4000/10000)-J7*0.08)</f>
        <v>10.348600000000001</v>
      </c>
      <c r="N7" s="144">
        <f t="shared" si="1"/>
        <v>0.45299190194790989</v>
      </c>
      <c r="O7" s="66" t="s">
        <v>1024</v>
      </c>
      <c r="P7" s="68" t="s">
        <v>676</v>
      </c>
    </row>
    <row r="8" spans="1:16" s="25" customFormat="1" x14ac:dyDescent="0.2">
      <c r="A8" s="23" t="s">
        <v>35</v>
      </c>
      <c r="B8" s="23" t="s">
        <v>37</v>
      </c>
      <c r="C8" s="232" t="s">
        <v>36</v>
      </c>
      <c r="D8" s="307">
        <f t="shared" si="2"/>
        <v>5397.6886471787902</v>
      </c>
      <c r="E8" s="22">
        <v>43865</v>
      </c>
      <c r="F8" s="1">
        <v>4</v>
      </c>
      <c r="G8" s="7">
        <v>1</v>
      </c>
      <c r="H8" s="8">
        <v>7.35</v>
      </c>
      <c r="I8" s="8">
        <v>14.71</v>
      </c>
      <c r="J8" s="9">
        <v>7.94</v>
      </c>
      <c r="K8" s="11">
        <f t="shared" si="0"/>
        <v>7.94</v>
      </c>
      <c r="L8" s="142"/>
      <c r="M8" s="143"/>
      <c r="N8" s="144"/>
      <c r="O8" s="139" t="s">
        <v>766</v>
      </c>
      <c r="P8" s="309"/>
    </row>
    <row r="9" spans="1:16" s="265" customFormat="1" ht="27" x14ac:dyDescent="0.2">
      <c r="A9" s="252" t="s">
        <v>38</v>
      </c>
      <c r="B9" s="15" t="s">
        <v>39</v>
      </c>
      <c r="C9" s="15" t="s">
        <v>9</v>
      </c>
      <c r="D9" s="253">
        <f t="shared" si="2"/>
        <v>1112.531969309463</v>
      </c>
      <c r="E9" s="254">
        <v>43891</v>
      </c>
      <c r="F9" s="231">
        <v>1</v>
      </c>
      <c r="G9" s="260">
        <v>1</v>
      </c>
      <c r="H9" s="236">
        <v>3.89</v>
      </c>
      <c r="I9" s="236">
        <f>6.42+1.4</f>
        <v>7.82</v>
      </c>
      <c r="J9" s="236">
        <v>0.87</v>
      </c>
      <c r="K9" s="236">
        <f t="shared" si="0"/>
        <v>0.87</v>
      </c>
      <c r="L9" s="261">
        <f>I9*10000*9799/100000000</f>
        <v>7.6628179999999997</v>
      </c>
      <c r="M9" s="262">
        <f>(L9-J9-(I9*4500/10000)-J9*0.08)</f>
        <v>3.2042179999999996</v>
      </c>
      <c r="N9" s="263">
        <f>M9/L9</f>
        <v>0.41815139025877945</v>
      </c>
      <c r="O9" s="319" t="s">
        <v>1717</v>
      </c>
      <c r="P9" s="264" t="s">
        <v>769</v>
      </c>
    </row>
    <row r="10" spans="1:16" ht="15" x14ac:dyDescent="0.2">
      <c r="A10" s="255" t="s">
        <v>38</v>
      </c>
      <c r="B10" s="19" t="s">
        <v>39</v>
      </c>
      <c r="C10" s="19" t="s">
        <v>40</v>
      </c>
      <c r="D10" s="47">
        <f t="shared" si="2"/>
        <v>1105.6511056511056</v>
      </c>
      <c r="E10" s="256">
        <v>43892</v>
      </c>
      <c r="F10" s="231">
        <v>2</v>
      </c>
      <c r="G10" s="266">
        <v>1</v>
      </c>
      <c r="H10" s="3">
        <v>4.82</v>
      </c>
      <c r="I10" s="3">
        <f>6.74+1.4</f>
        <v>8.14</v>
      </c>
      <c r="J10" s="3">
        <v>0.9</v>
      </c>
      <c r="K10" s="3">
        <f t="shared" si="0"/>
        <v>0.9</v>
      </c>
      <c r="L10" s="220">
        <f>I10*10000*9799/100000000</f>
        <v>7.9763859999999998</v>
      </c>
      <c r="M10" s="221">
        <f>(L10-J10-(I10*4500/10000)-J10*0.08)</f>
        <v>3.3413859999999995</v>
      </c>
      <c r="N10" s="222">
        <f>M10/L10</f>
        <v>0.41890976690446019</v>
      </c>
      <c r="O10" s="267" t="s">
        <v>1718</v>
      </c>
      <c r="P10" s="70" t="s">
        <v>769</v>
      </c>
    </row>
    <row r="11" spans="1:16" x14ac:dyDescent="0.2">
      <c r="A11" s="255" t="s">
        <v>38</v>
      </c>
      <c r="B11" s="19" t="s">
        <v>39</v>
      </c>
      <c r="C11" s="19" t="s">
        <v>767</v>
      </c>
      <c r="D11" s="47">
        <f t="shared" si="2"/>
        <v>1142.8571428571429</v>
      </c>
      <c r="E11" s="256">
        <v>43893</v>
      </c>
      <c r="F11" s="231">
        <v>3</v>
      </c>
      <c r="G11" s="266">
        <v>1</v>
      </c>
      <c r="H11" s="3">
        <v>2.33</v>
      </c>
      <c r="I11" s="3">
        <v>1.4</v>
      </c>
      <c r="J11" s="3">
        <v>0.16</v>
      </c>
      <c r="K11" s="3">
        <f t="shared" si="0"/>
        <v>0.16</v>
      </c>
      <c r="L11" s="220"/>
      <c r="M11" s="221"/>
      <c r="N11" s="222"/>
      <c r="O11" s="267" t="s">
        <v>768</v>
      </c>
    </row>
    <row r="12" spans="1:16" s="275" customFormat="1" x14ac:dyDescent="0.2">
      <c r="A12" s="257" t="s">
        <v>38</v>
      </c>
      <c r="B12" s="23" t="s">
        <v>39</v>
      </c>
      <c r="C12" s="23" t="s">
        <v>10</v>
      </c>
      <c r="D12" s="258">
        <f t="shared" si="2"/>
        <v>3566.2898252826308</v>
      </c>
      <c r="E12" s="259">
        <v>43894</v>
      </c>
      <c r="F12" s="231">
        <v>4</v>
      </c>
      <c r="G12" s="269">
        <v>0.45</v>
      </c>
      <c r="H12" s="8">
        <v>6.02</v>
      </c>
      <c r="I12" s="8">
        <f>7.23+2.5</f>
        <v>9.73</v>
      </c>
      <c r="J12" s="8">
        <v>3.47</v>
      </c>
      <c r="K12" s="8">
        <f t="shared" si="0"/>
        <v>1.5615000000000001</v>
      </c>
      <c r="L12" s="270">
        <f>I12*10000*12000/100000000</f>
        <v>11.676</v>
      </c>
      <c r="M12" s="271">
        <f>(L12-J12-(I12*4500/10000)-J12*0.08)</f>
        <v>3.5498999999999996</v>
      </c>
      <c r="N12" s="272">
        <f>M12/L12</f>
        <v>0.30403391572456318</v>
      </c>
      <c r="O12" s="273" t="s">
        <v>1719</v>
      </c>
      <c r="P12" s="274" t="s">
        <v>772</v>
      </c>
    </row>
    <row r="13" spans="1:16" s="25" customFormat="1" ht="28.5" x14ac:dyDescent="0.2">
      <c r="A13" s="15" t="s">
        <v>41</v>
      </c>
      <c r="B13" s="320" t="s">
        <v>718</v>
      </c>
      <c r="C13" s="15" t="s">
        <v>11</v>
      </c>
      <c r="D13" s="20">
        <f t="shared" si="2"/>
        <v>6183.6352279825123</v>
      </c>
      <c r="E13" s="234">
        <v>43895</v>
      </c>
      <c r="F13" s="1">
        <v>5</v>
      </c>
      <c r="G13" s="235">
        <v>0.5</v>
      </c>
      <c r="H13" s="236">
        <v>5.51</v>
      </c>
      <c r="I13" s="236">
        <f>12.11+3.9</f>
        <v>16.009999999999998</v>
      </c>
      <c r="J13" s="237">
        <v>9.9</v>
      </c>
      <c r="K13" s="11">
        <f t="shared" si="0"/>
        <v>4.95</v>
      </c>
      <c r="L13" s="142">
        <f>I13*10000*17300/100000000</f>
        <v>27.697299999999995</v>
      </c>
      <c r="M13" s="143">
        <f>(L13-J13-(I13*4500/10000)-J13*0.08)</f>
        <v>9.8007999999999935</v>
      </c>
      <c r="N13" s="144">
        <f>M13/L13</f>
        <v>0.3538539857675656</v>
      </c>
      <c r="O13" s="86" t="s">
        <v>1025</v>
      </c>
      <c r="P13" s="68" t="s">
        <v>719</v>
      </c>
    </row>
    <row r="14" spans="1:16" s="25" customFormat="1" ht="27.75" x14ac:dyDescent="0.2">
      <c r="A14" s="19" t="s">
        <v>28</v>
      </c>
      <c r="B14" s="19" t="s">
        <v>44</v>
      </c>
      <c r="C14" s="64" t="s">
        <v>43</v>
      </c>
      <c r="D14" s="20">
        <f t="shared" si="2"/>
        <v>2112.9032258064512</v>
      </c>
      <c r="E14" s="18">
        <v>43896</v>
      </c>
      <c r="F14" s="1">
        <v>6</v>
      </c>
      <c r="G14" s="2">
        <v>0.75</v>
      </c>
      <c r="H14" s="3">
        <v>5.92</v>
      </c>
      <c r="I14" s="3">
        <f>14.8+3.8</f>
        <v>18.600000000000001</v>
      </c>
      <c r="J14" s="4">
        <v>3.93</v>
      </c>
      <c r="K14" s="11">
        <f t="shared" si="0"/>
        <v>2.9475000000000002</v>
      </c>
      <c r="L14" s="142">
        <f>I14*10000*9500/100000000</f>
        <v>17.670000000000002</v>
      </c>
      <c r="M14" s="143">
        <f>(L14-J14-(I14*4000/10000)-J14*0.08)</f>
        <v>5.9856000000000016</v>
      </c>
      <c r="N14" s="144">
        <f>M14/L14</f>
        <v>0.33874363327674029</v>
      </c>
      <c r="O14" s="86" t="s">
        <v>1026</v>
      </c>
      <c r="P14" s="68" t="s">
        <v>606</v>
      </c>
    </row>
    <row r="15" spans="1:16" s="25" customFormat="1" x14ac:dyDescent="0.2">
      <c r="A15" s="19" t="s">
        <v>45</v>
      </c>
      <c r="B15" s="19" t="s">
        <v>46</v>
      </c>
      <c r="C15" s="19" t="s">
        <v>12</v>
      </c>
      <c r="D15" s="20">
        <f t="shared" si="2"/>
        <v>1556.2472209871055</v>
      </c>
      <c r="E15" s="18">
        <v>43897</v>
      </c>
      <c r="F15" s="1">
        <v>7</v>
      </c>
      <c r="G15" s="2">
        <v>0.49</v>
      </c>
      <c r="H15" s="3">
        <v>7.77</v>
      </c>
      <c r="I15" s="3">
        <v>22.49</v>
      </c>
      <c r="J15" s="4">
        <v>3.5</v>
      </c>
      <c r="K15" s="11">
        <f t="shared" si="0"/>
        <v>1.7149999999999999</v>
      </c>
      <c r="L15" s="142"/>
      <c r="M15" s="143"/>
      <c r="N15" s="144"/>
      <c r="O15" s="13"/>
      <c r="P15" s="17"/>
    </row>
    <row r="16" spans="1:16" s="25" customFormat="1" x14ac:dyDescent="0.2">
      <c r="A16" s="23" t="s">
        <v>47</v>
      </c>
      <c r="B16" s="23" t="s">
        <v>49</v>
      </c>
      <c r="C16" s="23" t="s">
        <v>48</v>
      </c>
      <c r="D16" s="20">
        <f t="shared" si="2"/>
        <v>25817.267393126574</v>
      </c>
      <c r="E16" s="22">
        <v>43922</v>
      </c>
      <c r="F16" s="1">
        <v>1</v>
      </c>
      <c r="G16" s="7">
        <v>0.55000000000000004</v>
      </c>
      <c r="H16" s="8">
        <v>3.49</v>
      </c>
      <c r="I16" s="8">
        <f>8.73+3.2</f>
        <v>11.93</v>
      </c>
      <c r="J16" s="9">
        <v>30.8</v>
      </c>
      <c r="K16" s="11">
        <f t="shared" si="0"/>
        <v>16.940000000000001</v>
      </c>
      <c r="L16" s="142">
        <f>I16*10000*45000/100000000</f>
        <v>53.685000000000002</v>
      </c>
      <c r="M16" s="143">
        <f>(L16-J16-(I16*4500/10000)-J16*0.08)</f>
        <v>15.0525</v>
      </c>
      <c r="N16" s="144">
        <f t="shared" ref="N16:N26" si="3">M16/L16</f>
        <v>0.28038558256496227</v>
      </c>
      <c r="O16" s="86" t="s">
        <v>709</v>
      </c>
      <c r="P16" s="68" t="s">
        <v>710</v>
      </c>
    </row>
    <row r="17" spans="1:16" s="283" customFormat="1" ht="27" x14ac:dyDescent="0.2">
      <c r="A17" s="243" t="s">
        <v>38</v>
      </c>
      <c r="B17" s="239" t="s">
        <v>50</v>
      </c>
      <c r="C17" s="239" t="s">
        <v>4</v>
      </c>
      <c r="D17" s="276">
        <v>4333</v>
      </c>
      <c r="E17" s="277">
        <v>43923</v>
      </c>
      <c r="F17" s="231">
        <v>2</v>
      </c>
      <c r="G17" s="278">
        <v>0.55000000000000004</v>
      </c>
      <c r="H17" s="241">
        <v>21.92</v>
      </c>
      <c r="I17" s="241">
        <v>44.43</v>
      </c>
      <c r="J17" s="241">
        <v>19.95</v>
      </c>
      <c r="K17" s="241">
        <f t="shared" si="0"/>
        <v>10.9725</v>
      </c>
      <c r="L17" s="279">
        <f>I17*10000*13000/100000000</f>
        <v>57.759</v>
      </c>
      <c r="M17" s="280">
        <f>(L17-J17-(I17*4000/10000)-J17*0.08)</f>
        <v>18.440999999999999</v>
      </c>
      <c r="N17" s="281">
        <f t="shared" si="3"/>
        <v>0.31927491819456705</v>
      </c>
      <c r="O17" s="248" t="s">
        <v>1720</v>
      </c>
      <c r="P17" s="282" t="s">
        <v>774</v>
      </c>
    </row>
    <row r="18" spans="1:16" s="25" customFormat="1" x14ac:dyDescent="0.2">
      <c r="A18" s="15" t="s">
        <v>25</v>
      </c>
      <c r="B18" s="15" t="s">
        <v>52</v>
      </c>
      <c r="C18" s="15" t="s">
        <v>51</v>
      </c>
      <c r="D18" s="307">
        <f t="shared" ref="D18:D49" si="4">J18/I18*10000</f>
        <v>5461.4220877458401</v>
      </c>
      <c r="E18" s="234">
        <v>43924</v>
      </c>
      <c r="F18" s="1">
        <v>3</v>
      </c>
      <c r="G18" s="235">
        <v>0.45</v>
      </c>
      <c r="H18" s="236">
        <v>3.08</v>
      </c>
      <c r="I18" s="236">
        <f>4.61+2</f>
        <v>6.61</v>
      </c>
      <c r="J18" s="237">
        <v>3.61</v>
      </c>
      <c r="K18" s="11">
        <f t="shared" si="0"/>
        <v>1.6245000000000001</v>
      </c>
      <c r="L18" s="142">
        <f>I18*10000*16000/100000000</f>
        <v>10.576000000000001</v>
      </c>
      <c r="M18" s="143">
        <f>(L18-J18-(I18*4500/10000)-J18*0.08)</f>
        <v>3.702700000000001</v>
      </c>
      <c r="N18" s="144">
        <f t="shared" si="3"/>
        <v>0.35010400907715589</v>
      </c>
      <c r="O18" s="139" t="s">
        <v>1028</v>
      </c>
      <c r="P18" s="138" t="s">
        <v>1027</v>
      </c>
    </row>
    <row r="19" spans="1:16" s="25" customFormat="1" ht="42.75" x14ac:dyDescent="0.2">
      <c r="A19" s="19" t="s">
        <v>28</v>
      </c>
      <c r="B19" s="19" t="s">
        <v>54</v>
      </c>
      <c r="C19" s="64" t="s">
        <v>53</v>
      </c>
      <c r="D19" s="307">
        <f t="shared" si="4"/>
        <v>4226.8907563025214</v>
      </c>
      <c r="E19" s="18">
        <v>43925</v>
      </c>
      <c r="F19" s="1">
        <v>4</v>
      </c>
      <c r="G19" s="2">
        <v>0.51</v>
      </c>
      <c r="H19" s="3">
        <v>2.97</v>
      </c>
      <c r="I19" s="3">
        <f>8.9+3</f>
        <v>11.9</v>
      </c>
      <c r="J19" s="4">
        <v>5.03</v>
      </c>
      <c r="K19" s="11">
        <f t="shared" si="0"/>
        <v>2.5653000000000001</v>
      </c>
      <c r="L19" s="142">
        <f>I19*10000*12500/100000000</f>
        <v>14.875</v>
      </c>
      <c r="M19" s="143">
        <f>(L19-J19-(I19*4000/10000)-J19*0.08)</f>
        <v>4.682599999999999</v>
      </c>
      <c r="N19" s="144">
        <f t="shared" si="3"/>
        <v>0.31479663865546209</v>
      </c>
      <c r="O19" s="318" t="s">
        <v>1883</v>
      </c>
      <c r="P19" s="138" t="s">
        <v>609</v>
      </c>
    </row>
    <row r="20" spans="1:16" s="25" customFormat="1" ht="27.75" x14ac:dyDescent="0.2">
      <c r="A20" s="19" t="s">
        <v>55</v>
      </c>
      <c r="B20" s="19" t="s">
        <v>57</v>
      </c>
      <c r="C20" s="64" t="s">
        <v>56</v>
      </c>
      <c r="D20" s="20">
        <f t="shared" si="4"/>
        <v>8722.0447284345046</v>
      </c>
      <c r="E20" s="18">
        <v>43926</v>
      </c>
      <c r="F20" s="1">
        <v>5</v>
      </c>
      <c r="G20" s="2">
        <v>0.7</v>
      </c>
      <c r="H20" s="3">
        <v>5.01</v>
      </c>
      <c r="I20" s="3">
        <f>8.52+4</f>
        <v>12.52</v>
      </c>
      <c r="J20" s="4">
        <v>10.92</v>
      </c>
      <c r="K20" s="11">
        <f t="shared" si="0"/>
        <v>7.6439999999999992</v>
      </c>
      <c r="L20" s="142">
        <f>I20*10000*21000/100000000</f>
        <v>26.292000000000002</v>
      </c>
      <c r="M20" s="143">
        <f>(L20-J20-(I20*4500/10000)-J20*0.08)</f>
        <v>8.8644000000000016</v>
      </c>
      <c r="N20" s="144">
        <f t="shared" si="3"/>
        <v>0.33715198539479696</v>
      </c>
      <c r="O20" s="66" t="s">
        <v>1029</v>
      </c>
      <c r="P20" s="68" t="s">
        <v>697</v>
      </c>
    </row>
    <row r="21" spans="1:16" s="25" customFormat="1" ht="40.5" x14ac:dyDescent="0.2">
      <c r="A21" s="19" t="s">
        <v>55</v>
      </c>
      <c r="B21" s="19" t="s">
        <v>59</v>
      </c>
      <c r="C21" s="19" t="s">
        <v>58</v>
      </c>
      <c r="D21" s="307">
        <f t="shared" si="4"/>
        <v>4197.3244147157193</v>
      </c>
      <c r="E21" s="18">
        <v>43927</v>
      </c>
      <c r="F21" s="1">
        <v>6</v>
      </c>
      <c r="G21" s="2">
        <v>0.25</v>
      </c>
      <c r="H21" s="3">
        <v>13.11</v>
      </c>
      <c r="I21" s="3">
        <v>35.880000000000003</v>
      </c>
      <c r="J21" s="4">
        <v>15.06</v>
      </c>
      <c r="K21" s="11">
        <f t="shared" si="0"/>
        <v>3.7650000000000001</v>
      </c>
      <c r="L21" s="142">
        <f>I21*10000*10800/100000000</f>
        <v>38.750399999999999</v>
      </c>
      <c r="M21" s="143">
        <f>(L21-J21-(I21*4000/10000)-J21*0.08)</f>
        <v>8.1335999999999959</v>
      </c>
      <c r="N21" s="144">
        <f t="shared" si="3"/>
        <v>0.20989718815805763</v>
      </c>
      <c r="O21" s="139" t="s">
        <v>1884</v>
      </c>
      <c r="P21" s="138" t="s">
        <v>699</v>
      </c>
    </row>
    <row r="22" spans="1:16" s="25" customFormat="1" ht="27.75" x14ac:dyDescent="0.2">
      <c r="A22" s="19" t="s">
        <v>60</v>
      </c>
      <c r="B22" s="19" t="s">
        <v>61</v>
      </c>
      <c r="C22" s="19" t="s">
        <v>0</v>
      </c>
      <c r="D22" s="20">
        <f t="shared" si="4"/>
        <v>12685.185185185186</v>
      </c>
      <c r="E22" s="18">
        <v>43928</v>
      </c>
      <c r="F22" s="1">
        <v>7</v>
      </c>
      <c r="G22" s="2">
        <v>0.6</v>
      </c>
      <c r="H22" s="3">
        <v>1.29</v>
      </c>
      <c r="I22" s="3">
        <v>3.24</v>
      </c>
      <c r="J22" s="4">
        <v>4.1100000000000003</v>
      </c>
      <c r="K22" s="11">
        <f t="shared" si="0"/>
        <v>2.4660000000000002</v>
      </c>
      <c r="L22" s="142">
        <f>I22*10000*23000/100000000</f>
        <v>7.4520000000000008</v>
      </c>
      <c r="M22" s="143">
        <f>(L22-J22-(I22*4500/10000)-J22*0.08)</f>
        <v>1.5552000000000004</v>
      </c>
      <c r="N22" s="144">
        <f t="shared" si="3"/>
        <v>0.20869565217391306</v>
      </c>
      <c r="O22" s="86" t="s">
        <v>1030</v>
      </c>
      <c r="P22" s="68" t="s">
        <v>645</v>
      </c>
    </row>
    <row r="23" spans="1:16" s="25" customFormat="1" ht="27.75" x14ac:dyDescent="0.2">
      <c r="A23" s="19" t="s">
        <v>62</v>
      </c>
      <c r="B23" s="19" t="s">
        <v>63</v>
      </c>
      <c r="C23" s="19" t="s">
        <v>1</v>
      </c>
      <c r="D23" s="20">
        <f t="shared" si="4"/>
        <v>1621.4285714285713</v>
      </c>
      <c r="E23" s="18">
        <v>43929</v>
      </c>
      <c r="F23" s="1">
        <v>8</v>
      </c>
      <c r="G23" s="2">
        <v>0.4</v>
      </c>
      <c r="H23" s="3">
        <v>10</v>
      </c>
      <c r="I23" s="3">
        <v>28</v>
      </c>
      <c r="J23" s="4">
        <v>4.54</v>
      </c>
      <c r="K23" s="11">
        <f t="shared" si="0"/>
        <v>1.8160000000000001</v>
      </c>
      <c r="L23" s="142">
        <f>I23*10000*9700/100000000</f>
        <v>27.16</v>
      </c>
      <c r="M23" s="143">
        <f>(L23-J23-(I23*4500/10000)-J23*0.08)</f>
        <v>9.6568000000000005</v>
      </c>
      <c r="N23" s="144">
        <f t="shared" si="3"/>
        <v>0.35555228276877765</v>
      </c>
      <c r="O23" s="66" t="s">
        <v>1031</v>
      </c>
      <c r="P23" s="68" t="s">
        <v>656</v>
      </c>
    </row>
    <row r="24" spans="1:16" s="25" customFormat="1" ht="28.5" x14ac:dyDescent="0.2">
      <c r="A24" s="19" t="s">
        <v>64</v>
      </c>
      <c r="B24" s="19" t="s">
        <v>66</v>
      </c>
      <c r="C24" s="19" t="s">
        <v>65</v>
      </c>
      <c r="D24" s="307">
        <f t="shared" si="4"/>
        <v>4372.2943722943728</v>
      </c>
      <c r="E24" s="18">
        <v>43930</v>
      </c>
      <c r="F24" s="1">
        <v>9</v>
      </c>
      <c r="G24" s="2">
        <v>0.33</v>
      </c>
      <c r="H24" s="3">
        <v>11.31</v>
      </c>
      <c r="I24" s="3">
        <f>28.26+8.7</f>
        <v>36.96</v>
      </c>
      <c r="J24" s="4">
        <v>16.16</v>
      </c>
      <c r="K24" s="11">
        <f t="shared" si="0"/>
        <v>5.3328000000000007</v>
      </c>
      <c r="L24" s="142">
        <f>I24*10000*14000/100000000</f>
        <v>51.744</v>
      </c>
      <c r="M24" s="143">
        <f>(L24-J24-(I24*4000/10000)-J24*0.08)</f>
        <v>19.507200000000005</v>
      </c>
      <c r="N24" s="144">
        <f t="shared" si="3"/>
        <v>0.37699443413729139</v>
      </c>
      <c r="O24" s="318" t="s">
        <v>1035</v>
      </c>
      <c r="P24" s="138" t="s">
        <v>1036</v>
      </c>
    </row>
    <row r="25" spans="1:16" s="78" customFormat="1" ht="27" x14ac:dyDescent="0.2">
      <c r="A25" s="97" t="s">
        <v>1032</v>
      </c>
      <c r="B25" s="97" t="s">
        <v>1033</v>
      </c>
      <c r="C25" s="97" t="s">
        <v>1034</v>
      </c>
      <c r="D25" s="73">
        <f t="shared" si="4"/>
        <v>7210.0313479623819</v>
      </c>
      <c r="E25" s="99">
        <v>43931</v>
      </c>
      <c r="F25" s="100">
        <v>10</v>
      </c>
      <c r="G25" s="101">
        <v>0.6</v>
      </c>
      <c r="H25" s="102">
        <v>5.7</v>
      </c>
      <c r="I25" s="102">
        <v>15.95</v>
      </c>
      <c r="J25" s="103">
        <v>11.5</v>
      </c>
      <c r="K25" s="96">
        <f t="shared" si="0"/>
        <v>6.8999999999999995</v>
      </c>
      <c r="L25" s="96">
        <f>I25*10000*11600/100000000</f>
        <v>18.501999999999999</v>
      </c>
      <c r="M25" s="145">
        <f>(L25-J25-(I25*4000/10000)-J25*0.08)</f>
        <v>-0.29800000000000104</v>
      </c>
      <c r="N25" s="146">
        <f t="shared" si="3"/>
        <v>-1.6106366879256352E-2</v>
      </c>
      <c r="O25" s="148" t="s">
        <v>1782</v>
      </c>
      <c r="P25" s="149" t="s">
        <v>614</v>
      </c>
    </row>
    <row r="26" spans="1:16" s="25" customFormat="1" x14ac:dyDescent="0.2">
      <c r="A26" s="19" t="s">
        <v>69</v>
      </c>
      <c r="B26" s="19" t="s">
        <v>70</v>
      </c>
      <c r="C26" s="19" t="s">
        <v>14</v>
      </c>
      <c r="D26" s="20">
        <f t="shared" si="4"/>
        <v>4906.9973427812229</v>
      </c>
      <c r="E26" s="18">
        <v>43932</v>
      </c>
      <c r="F26" s="1">
        <v>11</v>
      </c>
      <c r="G26" s="2">
        <v>0.7</v>
      </c>
      <c r="H26" s="3">
        <v>4.91</v>
      </c>
      <c r="I26" s="3">
        <v>11.29</v>
      </c>
      <c r="J26" s="4">
        <v>5.54</v>
      </c>
      <c r="K26" s="11">
        <f t="shared" si="0"/>
        <v>3.8779999999999997</v>
      </c>
      <c r="L26" s="142">
        <f>I26*10000*12000/100000000</f>
        <v>13.547999999999998</v>
      </c>
      <c r="M26" s="143">
        <f>(L26-J26-(I26*4500/10000)-J26*0.08)</f>
        <v>2.4843000000000002</v>
      </c>
      <c r="N26" s="144">
        <f t="shared" si="3"/>
        <v>0.18337023914969003</v>
      </c>
      <c r="O26" s="66" t="s">
        <v>669</v>
      </c>
      <c r="P26" s="68" t="s">
        <v>668</v>
      </c>
    </row>
    <row r="27" spans="1:16" s="25" customFormat="1" x14ac:dyDescent="0.2">
      <c r="A27" s="19" t="s">
        <v>71</v>
      </c>
      <c r="B27" s="19" t="s">
        <v>73</v>
      </c>
      <c r="C27" s="64" t="s">
        <v>72</v>
      </c>
      <c r="D27" s="20">
        <f t="shared" si="4"/>
        <v>5863.0952380952385</v>
      </c>
      <c r="E27" s="18">
        <v>43952</v>
      </c>
      <c r="F27" s="1">
        <v>1</v>
      </c>
      <c r="G27" s="2">
        <v>0.5</v>
      </c>
      <c r="H27" s="3">
        <v>3.73</v>
      </c>
      <c r="I27" s="3">
        <v>6.72</v>
      </c>
      <c r="J27" s="4">
        <v>3.94</v>
      </c>
      <c r="K27" s="11">
        <f t="shared" si="0"/>
        <v>1.97</v>
      </c>
      <c r="L27" s="142"/>
      <c r="M27" s="143"/>
      <c r="N27" s="144"/>
      <c r="O27" s="86"/>
      <c r="P27" s="68"/>
    </row>
    <row r="28" spans="1:16" s="78" customFormat="1" x14ac:dyDescent="0.2">
      <c r="A28" s="97" t="s">
        <v>1038</v>
      </c>
      <c r="B28" s="97" t="s">
        <v>1039</v>
      </c>
      <c r="C28" s="147" t="s">
        <v>1040</v>
      </c>
      <c r="D28" s="73">
        <f t="shared" si="4"/>
        <v>6942.9097605893185</v>
      </c>
      <c r="E28" s="99">
        <v>43953</v>
      </c>
      <c r="F28" s="100">
        <v>2</v>
      </c>
      <c r="G28" s="101">
        <v>0.5</v>
      </c>
      <c r="H28" s="102">
        <v>3.02</v>
      </c>
      <c r="I28" s="102">
        <v>5.43</v>
      </c>
      <c r="J28" s="103">
        <v>3.77</v>
      </c>
      <c r="K28" s="96">
        <f t="shared" si="0"/>
        <v>1.885</v>
      </c>
      <c r="L28" s="96">
        <f>I28*10000*12000/100000000</f>
        <v>6.516</v>
      </c>
      <c r="M28" s="145">
        <f>(L28-J28-(I28*4000/10000)-J28*0.08)</f>
        <v>0.27239999999999981</v>
      </c>
      <c r="N28" s="146">
        <f t="shared" ref="N28:N42" si="5">M28/L28</f>
        <v>4.1804788213627965E-2</v>
      </c>
      <c r="O28" s="88" t="s">
        <v>1042</v>
      </c>
      <c r="P28" s="149" t="s">
        <v>1037</v>
      </c>
    </row>
    <row r="29" spans="1:16" s="25" customFormat="1" ht="28.5" x14ac:dyDescent="0.2">
      <c r="A29" s="19" t="s">
        <v>31</v>
      </c>
      <c r="B29" s="19" t="s">
        <v>32</v>
      </c>
      <c r="C29" s="65" t="s">
        <v>684</v>
      </c>
      <c r="D29" s="20">
        <f t="shared" si="4"/>
        <v>1851.063829787234</v>
      </c>
      <c r="E29" s="18">
        <v>43954</v>
      </c>
      <c r="F29" s="1">
        <v>3</v>
      </c>
      <c r="G29" s="2">
        <v>0.75</v>
      </c>
      <c r="H29" s="3">
        <v>4.76</v>
      </c>
      <c r="I29" s="3">
        <f>5+4.4</f>
        <v>9.4</v>
      </c>
      <c r="J29" s="4">
        <v>1.74</v>
      </c>
      <c r="K29" s="11">
        <f t="shared" si="0"/>
        <v>1.3049999999999999</v>
      </c>
      <c r="L29" s="142">
        <f>I29*10000*10000/100000000</f>
        <v>9.4</v>
      </c>
      <c r="M29" s="143">
        <f>(L29-J29-(I29*4000/10000)-J29*0.08)</f>
        <v>3.7608000000000006</v>
      </c>
      <c r="N29" s="144">
        <f t="shared" si="5"/>
        <v>0.40008510638297878</v>
      </c>
      <c r="O29" s="86" t="s">
        <v>1043</v>
      </c>
      <c r="P29" s="68" t="s">
        <v>1041</v>
      </c>
    </row>
    <row r="30" spans="1:16" s="25" customFormat="1" x14ac:dyDescent="0.2">
      <c r="A30" s="19" t="s">
        <v>74</v>
      </c>
      <c r="B30" s="65" t="s">
        <v>566</v>
      </c>
      <c r="C30" s="19" t="s">
        <v>15</v>
      </c>
      <c r="D30" s="20">
        <f t="shared" si="4"/>
        <v>8428.5714285714294</v>
      </c>
      <c r="E30" s="18">
        <v>43955</v>
      </c>
      <c r="F30" s="1">
        <v>4</v>
      </c>
      <c r="G30" s="2">
        <v>0.6</v>
      </c>
      <c r="H30" s="3">
        <v>1.21</v>
      </c>
      <c r="I30" s="3">
        <v>3.5</v>
      </c>
      <c r="J30" s="4">
        <v>2.95</v>
      </c>
      <c r="K30" s="11">
        <f t="shared" si="0"/>
        <v>1.77</v>
      </c>
      <c r="L30" s="142">
        <f>I30*10000*23000/100000000</f>
        <v>8.0500000000000007</v>
      </c>
      <c r="M30" s="143">
        <f>(L30-J30-(I30*4500/10000)-J30*0.08)</f>
        <v>3.2890000000000001</v>
      </c>
      <c r="N30" s="144">
        <f t="shared" si="5"/>
        <v>0.40857142857142853</v>
      </c>
      <c r="O30" s="66" t="s">
        <v>670</v>
      </c>
      <c r="P30" s="17"/>
    </row>
    <row r="31" spans="1:16" s="25" customFormat="1" ht="15" x14ac:dyDescent="0.2">
      <c r="A31" s="19" t="s">
        <v>74</v>
      </c>
      <c r="B31" s="19" t="s">
        <v>75</v>
      </c>
      <c r="C31" s="19" t="s">
        <v>76</v>
      </c>
      <c r="D31" s="20">
        <f t="shared" si="4"/>
        <v>8549.382716049382</v>
      </c>
      <c r="E31" s="18">
        <v>43956</v>
      </c>
      <c r="F31" s="1">
        <v>5</v>
      </c>
      <c r="G31" s="2">
        <v>0.6</v>
      </c>
      <c r="H31" s="3">
        <v>2.3199999999999998</v>
      </c>
      <c r="I31" s="3">
        <v>6.48</v>
      </c>
      <c r="J31" s="4">
        <v>5.54</v>
      </c>
      <c r="K31" s="11">
        <f t="shared" si="0"/>
        <v>3.3239999999999998</v>
      </c>
      <c r="L31" s="142">
        <f>I31*10000*23000/100000000</f>
        <v>14.904000000000002</v>
      </c>
      <c r="M31" s="143">
        <f>(L31-J31-(I31*4500/10000)-J31*0.08)</f>
        <v>6.0048000000000004</v>
      </c>
      <c r="N31" s="144">
        <f t="shared" si="5"/>
        <v>0.40289855072463765</v>
      </c>
      <c r="O31" s="86" t="s">
        <v>777</v>
      </c>
      <c r="P31" s="17"/>
    </row>
    <row r="32" spans="1:16" s="25" customFormat="1" ht="15" x14ac:dyDescent="0.2">
      <c r="A32" s="19" t="s">
        <v>74</v>
      </c>
      <c r="B32" s="19" t="s">
        <v>75</v>
      </c>
      <c r="C32" s="19" t="s">
        <v>77</v>
      </c>
      <c r="D32" s="307">
        <f t="shared" si="4"/>
        <v>8666.6666666666661</v>
      </c>
      <c r="E32" s="18">
        <v>43957</v>
      </c>
      <c r="F32" s="1">
        <v>6</v>
      </c>
      <c r="G32" s="2">
        <v>0.6</v>
      </c>
      <c r="H32" s="3">
        <v>0.94</v>
      </c>
      <c r="I32" s="3">
        <v>2.25</v>
      </c>
      <c r="J32" s="4">
        <v>1.95</v>
      </c>
      <c r="K32" s="11">
        <f t="shared" si="0"/>
        <v>1.17</v>
      </c>
      <c r="L32" s="142">
        <f>I32*10000*23000/100000000</f>
        <v>5.1749999999999998</v>
      </c>
      <c r="M32" s="143">
        <f>(L32-J32-(I32*4500/10000)-J32*0.08)</f>
        <v>2.0564999999999993</v>
      </c>
      <c r="N32" s="144">
        <f t="shared" si="5"/>
        <v>0.39739130434782599</v>
      </c>
      <c r="O32" s="318" t="s">
        <v>777</v>
      </c>
      <c r="P32" s="309"/>
    </row>
    <row r="33" spans="1:16" s="25" customFormat="1" ht="42.75" x14ac:dyDescent="0.2">
      <c r="A33" s="19" t="s">
        <v>78</v>
      </c>
      <c r="B33" s="65" t="s">
        <v>1062</v>
      </c>
      <c r="C33" s="64" t="s">
        <v>79</v>
      </c>
      <c r="D33" s="20">
        <f t="shared" si="4"/>
        <v>6284.9621586048042</v>
      </c>
      <c r="E33" s="18">
        <v>43958</v>
      </c>
      <c r="F33" s="1">
        <v>7</v>
      </c>
      <c r="G33" s="2">
        <v>1</v>
      </c>
      <c r="H33" s="3">
        <v>17.22</v>
      </c>
      <c r="I33" s="3">
        <v>30.39</v>
      </c>
      <c r="J33" s="4">
        <v>19.100000000000001</v>
      </c>
      <c r="K33" s="11">
        <f t="shared" si="0"/>
        <v>19.100000000000001</v>
      </c>
      <c r="L33" s="142">
        <f>I33*10000*13000/100000000</f>
        <v>39.506999999999998</v>
      </c>
      <c r="M33" s="143">
        <f>(L33-J33-(I33*4000/10000)-J33*0.08)</f>
        <v>6.7229999999999954</v>
      </c>
      <c r="N33" s="144">
        <f t="shared" si="5"/>
        <v>0.17017237451590847</v>
      </c>
      <c r="O33" s="86" t="s">
        <v>1044</v>
      </c>
      <c r="P33" s="68" t="s">
        <v>643</v>
      </c>
    </row>
    <row r="34" spans="1:16" s="25" customFormat="1" x14ac:dyDescent="0.2">
      <c r="A34" s="19" t="s">
        <v>60</v>
      </c>
      <c r="B34" s="19" t="s">
        <v>82</v>
      </c>
      <c r="C34" s="64" t="s">
        <v>81</v>
      </c>
      <c r="D34" s="20">
        <f t="shared" si="4"/>
        <v>5071.1743772241989</v>
      </c>
      <c r="E34" s="18">
        <v>43959</v>
      </c>
      <c r="F34" s="1">
        <v>8</v>
      </c>
      <c r="G34" s="2">
        <v>0.3</v>
      </c>
      <c r="H34" s="3">
        <v>3.6</v>
      </c>
      <c r="I34" s="3">
        <f>8.24+3</f>
        <v>11.24</v>
      </c>
      <c r="J34" s="4">
        <v>5.7</v>
      </c>
      <c r="K34" s="11">
        <f t="shared" ref="K34:K65" si="6">J34*G34</f>
        <v>1.71</v>
      </c>
      <c r="L34" s="142">
        <f>I34*10000*16800/100000000</f>
        <v>18.883199999999999</v>
      </c>
      <c r="M34" s="143">
        <f>(L34-J34-(I34*4500/10000)-J34*0.08)</f>
        <v>7.6691999999999991</v>
      </c>
      <c r="N34" s="144">
        <f t="shared" si="5"/>
        <v>0.40613879003558717</v>
      </c>
      <c r="O34" s="66" t="s">
        <v>646</v>
      </c>
      <c r="P34" s="68" t="s">
        <v>649</v>
      </c>
    </row>
    <row r="35" spans="1:16" s="25" customFormat="1" ht="27" x14ac:dyDescent="0.2">
      <c r="A35" s="65" t="s">
        <v>732</v>
      </c>
      <c r="B35" s="65" t="s">
        <v>707</v>
      </c>
      <c r="C35" s="64" t="s">
        <v>83</v>
      </c>
      <c r="D35" s="307">
        <f t="shared" si="4"/>
        <v>4440.8688656476261</v>
      </c>
      <c r="E35" s="18">
        <v>43983</v>
      </c>
      <c r="F35" s="1">
        <v>1</v>
      </c>
      <c r="G35" s="2">
        <v>0.7</v>
      </c>
      <c r="H35" s="3">
        <v>3.67</v>
      </c>
      <c r="I35" s="3">
        <f>8.43+4</f>
        <v>12.43</v>
      </c>
      <c r="J35" s="4">
        <v>5.52</v>
      </c>
      <c r="K35" s="11">
        <f t="shared" si="6"/>
        <v>3.8639999999999994</v>
      </c>
      <c r="L35" s="142">
        <f>I35*10000*13300/100000000</f>
        <v>16.5319</v>
      </c>
      <c r="M35" s="143">
        <f>(L35-J35-(I35*4500/10000)-J35*0.08)</f>
        <v>4.9768000000000008</v>
      </c>
      <c r="N35" s="144">
        <f t="shared" si="5"/>
        <v>0.30104222745117021</v>
      </c>
      <c r="O35" s="318" t="s">
        <v>731</v>
      </c>
      <c r="P35" s="138" t="s">
        <v>730</v>
      </c>
    </row>
    <row r="36" spans="1:16" s="25" customFormat="1" ht="27" x14ac:dyDescent="0.2">
      <c r="A36" s="19" t="s">
        <v>25</v>
      </c>
      <c r="B36" s="65" t="s">
        <v>707</v>
      </c>
      <c r="C36" s="64" t="s">
        <v>85</v>
      </c>
      <c r="D36" s="20">
        <f t="shared" si="4"/>
        <v>4538.4018619084563</v>
      </c>
      <c r="E36" s="18">
        <v>43984</v>
      </c>
      <c r="F36" s="1">
        <v>2</v>
      </c>
      <c r="G36" s="2">
        <v>0.75</v>
      </c>
      <c r="H36" s="3">
        <v>3.86</v>
      </c>
      <c r="I36" s="3">
        <f>8.89+4</f>
        <v>12.89</v>
      </c>
      <c r="J36" s="4">
        <v>5.85</v>
      </c>
      <c r="K36" s="11">
        <f t="shared" si="6"/>
        <v>4.3874999999999993</v>
      </c>
      <c r="L36" s="142">
        <f>I36*10000*13300/100000000</f>
        <v>17.143699999999999</v>
      </c>
      <c r="M36" s="143">
        <f>(L36-J36-(I36*4500/10000)-J36*0.08)</f>
        <v>5.025199999999999</v>
      </c>
      <c r="N36" s="144">
        <f t="shared" si="5"/>
        <v>0.29312225482247117</v>
      </c>
      <c r="O36" s="86" t="s">
        <v>745</v>
      </c>
      <c r="P36" s="17"/>
    </row>
    <row r="37" spans="1:16" s="25" customFormat="1" x14ac:dyDescent="0.2">
      <c r="A37" s="19" t="s">
        <v>86</v>
      </c>
      <c r="B37" s="19" t="s">
        <v>88</v>
      </c>
      <c r="C37" s="64" t="s">
        <v>87</v>
      </c>
      <c r="D37" s="20">
        <f t="shared" si="4"/>
        <v>2872.0238095238092</v>
      </c>
      <c r="E37" s="18">
        <v>43985</v>
      </c>
      <c r="F37" s="1">
        <v>3</v>
      </c>
      <c r="G37" s="2">
        <v>0.41</v>
      </c>
      <c r="H37" s="3">
        <v>2.62</v>
      </c>
      <c r="I37" s="3">
        <f>4.72+2</f>
        <v>6.72</v>
      </c>
      <c r="J37" s="4">
        <v>1.93</v>
      </c>
      <c r="K37" s="11">
        <f t="shared" si="6"/>
        <v>0.79129999999999989</v>
      </c>
      <c r="L37" s="142">
        <f>I37*10000*12000/100000000</f>
        <v>8.0640000000000001</v>
      </c>
      <c r="M37" s="143">
        <f>(L37-J37-(I37*4000/10000)-J37*0.08)</f>
        <v>3.2916000000000003</v>
      </c>
      <c r="N37" s="144">
        <f t="shared" si="5"/>
        <v>0.40818452380952386</v>
      </c>
      <c r="O37" s="86" t="s">
        <v>1045</v>
      </c>
      <c r="P37" s="68" t="s">
        <v>1046</v>
      </c>
    </row>
    <row r="38" spans="1:16" s="25" customFormat="1" ht="27.75" x14ac:dyDescent="0.2">
      <c r="A38" s="19" t="s">
        <v>55</v>
      </c>
      <c r="B38" s="65" t="s">
        <v>1047</v>
      </c>
      <c r="C38" s="64" t="s">
        <v>89</v>
      </c>
      <c r="D38" s="20">
        <f t="shared" si="4"/>
        <v>7293.6400541271987</v>
      </c>
      <c r="E38" s="18">
        <v>43986</v>
      </c>
      <c r="F38" s="1">
        <v>4</v>
      </c>
      <c r="G38" s="2">
        <v>0.6</v>
      </c>
      <c r="H38" s="3">
        <v>3.69</v>
      </c>
      <c r="I38" s="3">
        <v>7.39</v>
      </c>
      <c r="J38" s="4">
        <v>5.39</v>
      </c>
      <c r="K38" s="11">
        <f t="shared" si="6"/>
        <v>3.2339999999999995</v>
      </c>
      <c r="L38" s="142">
        <f>I38*10000*14000/100000000</f>
        <v>10.346</v>
      </c>
      <c r="M38" s="143">
        <f>(L38-J38-(I38*4000/10000)-J38*0.08)</f>
        <v>1.5688000000000004</v>
      </c>
      <c r="N38" s="144">
        <f t="shared" si="5"/>
        <v>0.15163348153875897</v>
      </c>
      <c r="O38" s="86" t="s">
        <v>701</v>
      </c>
      <c r="P38" s="17"/>
    </row>
    <row r="39" spans="1:16" s="25" customFormat="1" x14ac:dyDescent="0.2">
      <c r="A39" s="19" t="s">
        <v>28</v>
      </c>
      <c r="B39" s="19" t="s">
        <v>92</v>
      </c>
      <c r="C39" s="64" t="s">
        <v>91</v>
      </c>
      <c r="D39" s="307">
        <f t="shared" si="4"/>
        <v>7025.8980785296581</v>
      </c>
      <c r="E39" s="18">
        <v>43987</v>
      </c>
      <c r="F39" s="1">
        <v>5</v>
      </c>
      <c r="G39" s="2">
        <v>1</v>
      </c>
      <c r="H39" s="3">
        <v>5.98</v>
      </c>
      <c r="I39" s="3">
        <v>11.97</v>
      </c>
      <c r="J39" s="4">
        <v>8.41</v>
      </c>
      <c r="K39" s="11">
        <f t="shared" si="6"/>
        <v>8.41</v>
      </c>
      <c r="L39" s="142">
        <f>I39*10000*15000/100000000</f>
        <v>17.954999999999998</v>
      </c>
      <c r="M39" s="143">
        <f>(L39-J39-(I39*4000/10000)-J39*0.08)</f>
        <v>4.0841999999999974</v>
      </c>
      <c r="N39" s="144">
        <f t="shared" si="5"/>
        <v>0.22746867167919788</v>
      </c>
      <c r="O39" s="139" t="s">
        <v>612</v>
      </c>
      <c r="P39" s="138" t="s">
        <v>611</v>
      </c>
    </row>
    <row r="40" spans="1:16" s="25" customFormat="1" ht="27" x14ac:dyDescent="0.2">
      <c r="A40" s="19" t="s">
        <v>69</v>
      </c>
      <c r="B40" s="19" t="s">
        <v>70</v>
      </c>
      <c r="C40" s="19" t="s">
        <v>567</v>
      </c>
      <c r="D40" s="20">
        <f t="shared" si="4"/>
        <v>1913.8128789120103</v>
      </c>
      <c r="E40" s="18">
        <v>43988</v>
      </c>
      <c r="F40" s="1">
        <v>6</v>
      </c>
      <c r="G40" s="2">
        <v>0.51</v>
      </c>
      <c r="H40" s="3">
        <v>19.21</v>
      </c>
      <c r="I40" s="3">
        <f>48.03+13</f>
        <v>61.03</v>
      </c>
      <c r="J40" s="4">
        <v>11.68</v>
      </c>
      <c r="K40" s="11">
        <f t="shared" si="6"/>
        <v>5.9568000000000003</v>
      </c>
      <c r="L40" s="142">
        <f>I40*10000*10000/100000000</f>
        <v>61.03</v>
      </c>
      <c r="M40" s="143">
        <f>(L40-J40-(I40*4000/10000)-J40*0.08)</f>
        <v>24.003600000000002</v>
      </c>
      <c r="N40" s="144">
        <f t="shared" si="5"/>
        <v>0.39330820907750291</v>
      </c>
      <c r="O40" s="66" t="s">
        <v>1048</v>
      </c>
      <c r="P40" s="68" t="s">
        <v>672</v>
      </c>
    </row>
    <row r="41" spans="1:16" s="25" customFormat="1" ht="27.75" x14ac:dyDescent="0.2">
      <c r="A41" s="65" t="s">
        <v>558</v>
      </c>
      <c r="B41" s="65" t="s">
        <v>556</v>
      </c>
      <c r="C41" s="64" t="s">
        <v>94</v>
      </c>
      <c r="D41" s="20">
        <f t="shared" si="4"/>
        <v>1230.4250559284117</v>
      </c>
      <c r="E41" s="18">
        <v>43989</v>
      </c>
      <c r="F41" s="1">
        <v>7</v>
      </c>
      <c r="G41" s="2">
        <v>0.6</v>
      </c>
      <c r="H41" s="3">
        <v>7.27</v>
      </c>
      <c r="I41" s="3">
        <f>10.91+2.5</f>
        <v>13.41</v>
      </c>
      <c r="J41" s="4">
        <v>1.65</v>
      </c>
      <c r="K41" s="11">
        <f t="shared" si="6"/>
        <v>0.98999999999999988</v>
      </c>
      <c r="L41" s="142">
        <f>I41*10000*7000/100000000</f>
        <v>9.3870000000000005</v>
      </c>
      <c r="M41" s="143">
        <f>(L41-J41-(I41*4000/10000)-J41*0.08)</f>
        <v>2.2410000000000001</v>
      </c>
      <c r="N41" s="144">
        <f t="shared" si="5"/>
        <v>0.23873441994247363</v>
      </c>
      <c r="O41" s="66" t="s">
        <v>1049</v>
      </c>
      <c r="P41" s="68" t="s">
        <v>781</v>
      </c>
    </row>
    <row r="42" spans="1:16" s="17" customFormat="1" ht="40.5" x14ac:dyDescent="0.2">
      <c r="A42" s="19" t="s">
        <v>95</v>
      </c>
      <c r="B42" s="19" t="s">
        <v>96</v>
      </c>
      <c r="C42" s="64" t="s">
        <v>555</v>
      </c>
      <c r="D42" s="20">
        <f t="shared" si="4"/>
        <v>7743.0555555555557</v>
      </c>
      <c r="E42" s="18">
        <v>43990</v>
      </c>
      <c r="F42" s="1">
        <v>8</v>
      </c>
      <c r="G42" s="2">
        <v>0.4</v>
      </c>
      <c r="H42" s="3">
        <v>7.54</v>
      </c>
      <c r="I42" s="3">
        <v>14.4</v>
      </c>
      <c r="J42" s="4">
        <v>11.15</v>
      </c>
      <c r="K42" s="11">
        <f t="shared" si="6"/>
        <v>4.46</v>
      </c>
      <c r="L42" s="142">
        <f>I42*10000*15000/100000000</f>
        <v>21.6</v>
      </c>
      <c r="M42" s="143">
        <f>(L42-J42-(I42*4500/10000)-J42*0.08)</f>
        <v>3.0780000000000007</v>
      </c>
      <c r="N42" s="144">
        <f t="shared" si="5"/>
        <v>0.14250000000000002</v>
      </c>
      <c r="O42" s="66" t="s">
        <v>1887</v>
      </c>
      <c r="P42" s="68" t="s">
        <v>561</v>
      </c>
    </row>
    <row r="43" spans="1:16" s="25" customFormat="1" x14ac:dyDescent="0.2">
      <c r="A43" s="19" t="s">
        <v>45</v>
      </c>
      <c r="B43" s="19" t="s">
        <v>97</v>
      </c>
      <c r="C43" s="19" t="s">
        <v>779</v>
      </c>
      <c r="D43" s="20">
        <f t="shared" si="4"/>
        <v>1945.2275473217883</v>
      </c>
      <c r="E43" s="18">
        <v>43991</v>
      </c>
      <c r="F43" s="1">
        <v>9</v>
      </c>
      <c r="G43" s="2">
        <v>0.49</v>
      </c>
      <c r="H43" s="3">
        <v>9.1999999999999993</v>
      </c>
      <c r="I43" s="3">
        <v>24.83</v>
      </c>
      <c r="J43" s="4">
        <v>4.83</v>
      </c>
      <c r="K43" s="11">
        <f t="shared" si="6"/>
        <v>2.3666999999999998</v>
      </c>
      <c r="L43" s="142"/>
      <c r="M43" s="143"/>
      <c r="N43" s="144"/>
      <c r="O43" s="13"/>
      <c r="P43" s="17"/>
    </row>
    <row r="44" spans="1:16" s="25" customFormat="1" x14ac:dyDescent="0.2">
      <c r="A44" s="19" t="s">
        <v>98</v>
      </c>
      <c r="B44" s="19" t="s">
        <v>99</v>
      </c>
      <c r="C44" s="65" t="s">
        <v>595</v>
      </c>
      <c r="D44" s="20">
        <f t="shared" si="4"/>
        <v>823.38791747617722</v>
      </c>
      <c r="E44" s="18">
        <v>43992</v>
      </c>
      <c r="F44" s="1">
        <v>10</v>
      </c>
      <c r="G44" s="2">
        <v>0.6</v>
      </c>
      <c r="H44" s="3">
        <v>27.38</v>
      </c>
      <c r="I44" s="3">
        <f>73.09+35</f>
        <v>108.09</v>
      </c>
      <c r="J44" s="4">
        <v>8.9</v>
      </c>
      <c r="K44" s="11">
        <f t="shared" si="6"/>
        <v>5.34</v>
      </c>
      <c r="L44" s="142">
        <f>I44*10000*8000/100000000</f>
        <v>86.471999999999994</v>
      </c>
      <c r="M44" s="143">
        <f>(L44-J44-(I44*4000/10000)-J44*0.08)</f>
        <v>33.623999999999988</v>
      </c>
      <c r="N44" s="144">
        <f t="shared" ref="N44:N74" si="7">M44/L44</f>
        <v>0.38884263114071593</v>
      </c>
      <c r="O44" s="86" t="s">
        <v>1050</v>
      </c>
      <c r="P44" s="68" t="s">
        <v>596</v>
      </c>
    </row>
    <row r="45" spans="1:16" s="78" customFormat="1" ht="27" x14ac:dyDescent="0.2">
      <c r="A45" s="97" t="s">
        <v>831</v>
      </c>
      <c r="B45" s="97" t="s">
        <v>832</v>
      </c>
      <c r="C45" s="97" t="s">
        <v>833</v>
      </c>
      <c r="D45" s="73">
        <f t="shared" si="4"/>
        <v>6036.0360360360364</v>
      </c>
      <c r="E45" s="99">
        <v>43993</v>
      </c>
      <c r="F45" s="100">
        <v>11</v>
      </c>
      <c r="G45" s="101">
        <v>0.7</v>
      </c>
      <c r="H45" s="102">
        <v>2.27</v>
      </c>
      <c r="I45" s="102">
        <f>5.69+4.3</f>
        <v>9.99</v>
      </c>
      <c r="J45" s="103">
        <v>6.03</v>
      </c>
      <c r="K45" s="96">
        <f t="shared" si="6"/>
        <v>4.2210000000000001</v>
      </c>
      <c r="L45" s="142">
        <f>I45*10000*23000/100000000</f>
        <v>22.977</v>
      </c>
      <c r="M45" s="143">
        <f>(L45-J45-(I45*4500/10000)-J45*0.08)</f>
        <v>11.969099999999999</v>
      </c>
      <c r="N45" s="144">
        <f t="shared" si="7"/>
        <v>0.52091656874265568</v>
      </c>
      <c r="O45" s="148" t="s">
        <v>1934</v>
      </c>
      <c r="P45" s="149" t="s">
        <v>624</v>
      </c>
    </row>
    <row r="46" spans="1:16" s="25" customFormat="1" ht="27.75" x14ac:dyDescent="0.2">
      <c r="A46" s="19" t="s">
        <v>102</v>
      </c>
      <c r="B46" s="65" t="s">
        <v>627</v>
      </c>
      <c r="C46" s="19" t="s">
        <v>103</v>
      </c>
      <c r="D46" s="20">
        <f t="shared" si="4"/>
        <v>5000</v>
      </c>
      <c r="E46" s="18">
        <v>43994</v>
      </c>
      <c r="F46" s="1">
        <v>12</v>
      </c>
      <c r="G46" s="2">
        <v>0.9</v>
      </c>
      <c r="H46" s="3">
        <v>3.48</v>
      </c>
      <c r="I46" s="3">
        <v>8.6999999999999993</v>
      </c>
      <c r="J46" s="4">
        <v>4.3499999999999996</v>
      </c>
      <c r="K46" s="11">
        <f t="shared" si="6"/>
        <v>3.9149999999999996</v>
      </c>
      <c r="L46" s="142">
        <f>I46*10000*17000/100000000</f>
        <v>14.79</v>
      </c>
      <c r="M46" s="143">
        <f>(L46-J46-(I46*4500/10000)-J46*0.08)</f>
        <v>6.1769999999999996</v>
      </c>
      <c r="N46" s="144">
        <f t="shared" si="7"/>
        <v>0.41764705882352943</v>
      </c>
      <c r="O46" s="86" t="s">
        <v>628</v>
      </c>
      <c r="P46" s="68" t="s">
        <v>626</v>
      </c>
    </row>
    <row r="47" spans="1:16" s="78" customFormat="1" ht="41.25" x14ac:dyDescent="0.2">
      <c r="A47" s="97" t="s">
        <v>1051</v>
      </c>
      <c r="B47" s="97" t="s">
        <v>1052</v>
      </c>
      <c r="C47" s="147" t="s">
        <v>1053</v>
      </c>
      <c r="D47" s="73">
        <f t="shared" si="4"/>
        <v>1331.7591499409682</v>
      </c>
      <c r="E47" s="99">
        <v>43995</v>
      </c>
      <c r="F47" s="100">
        <v>13</v>
      </c>
      <c r="G47" s="101">
        <v>1</v>
      </c>
      <c r="H47" s="102">
        <v>10.08</v>
      </c>
      <c r="I47" s="102">
        <v>42.35</v>
      </c>
      <c r="J47" s="103">
        <v>5.64</v>
      </c>
      <c r="K47" s="96">
        <f t="shared" si="6"/>
        <v>5.64</v>
      </c>
      <c r="L47" s="96">
        <f>I47*10000*9000/100000000</f>
        <v>38.115000000000002</v>
      </c>
      <c r="M47" s="145">
        <f>(L47-J47-(I47*4500/10000)-J47*0.08)</f>
        <v>12.9663</v>
      </c>
      <c r="N47" s="146">
        <f t="shared" si="7"/>
        <v>0.34018890200708379</v>
      </c>
      <c r="O47" s="88" t="s">
        <v>1054</v>
      </c>
      <c r="P47" s="149" t="s">
        <v>652</v>
      </c>
    </row>
    <row r="48" spans="1:16" s="25" customFormat="1" x14ac:dyDescent="0.2">
      <c r="A48" s="19" t="s">
        <v>47</v>
      </c>
      <c r="B48" s="19" t="s">
        <v>106</v>
      </c>
      <c r="C48" s="19" t="s">
        <v>711</v>
      </c>
      <c r="D48" s="20">
        <f t="shared" si="4"/>
        <v>3364.2384105960264</v>
      </c>
      <c r="E48" s="18">
        <v>44013</v>
      </c>
      <c r="F48" s="1">
        <v>1</v>
      </c>
      <c r="G48" s="2">
        <v>0.5</v>
      </c>
      <c r="H48" s="3">
        <v>5.37</v>
      </c>
      <c r="I48" s="3">
        <v>7.55</v>
      </c>
      <c r="J48" s="4">
        <v>2.54</v>
      </c>
      <c r="K48" s="11">
        <f t="shared" si="6"/>
        <v>1.27</v>
      </c>
      <c r="L48" s="142">
        <f>I48*10000*10000/100000000</f>
        <v>7.55</v>
      </c>
      <c r="M48" s="143">
        <f>(L48-J48-(I48*4000/10000)-J48*0.08)</f>
        <v>1.7867999999999997</v>
      </c>
      <c r="N48" s="144">
        <f t="shared" si="7"/>
        <v>0.2366622516556291</v>
      </c>
      <c r="O48" s="66" t="s">
        <v>712</v>
      </c>
      <c r="P48" s="17"/>
    </row>
    <row r="49" spans="1:16" s="25" customFormat="1" ht="27" x14ac:dyDescent="0.2">
      <c r="A49" s="19" t="s">
        <v>107</v>
      </c>
      <c r="B49" s="19" t="s">
        <v>108</v>
      </c>
      <c r="C49" s="19" t="s">
        <v>760</v>
      </c>
      <c r="D49" s="20">
        <f t="shared" si="4"/>
        <v>3214.2857142857147</v>
      </c>
      <c r="E49" s="18">
        <v>44014</v>
      </c>
      <c r="F49" s="1">
        <v>2</v>
      </c>
      <c r="G49" s="5">
        <v>0.2475</v>
      </c>
      <c r="H49" s="3">
        <v>4.71</v>
      </c>
      <c r="I49" s="3">
        <v>10.36</v>
      </c>
      <c r="J49" s="4">
        <v>3.33</v>
      </c>
      <c r="K49" s="11">
        <f t="shared" si="6"/>
        <v>0.82417499999999999</v>
      </c>
      <c r="L49" s="142">
        <f>I49*10000*10800/100000000</f>
        <v>11.188800000000001</v>
      </c>
      <c r="M49" s="143">
        <f>(L49-J49-(I49*4000/10000)-J49*0.08)</f>
        <v>3.4484000000000004</v>
      </c>
      <c r="N49" s="144">
        <f t="shared" si="7"/>
        <v>0.3082010582010582</v>
      </c>
      <c r="O49" s="66" t="s">
        <v>761</v>
      </c>
      <c r="P49" s="68" t="s">
        <v>762</v>
      </c>
    </row>
    <row r="50" spans="1:16" s="25" customFormat="1" x14ac:dyDescent="0.2">
      <c r="A50" s="23" t="s">
        <v>41</v>
      </c>
      <c r="B50" s="23" t="s">
        <v>109</v>
      </c>
      <c r="C50" s="23" t="s">
        <v>721</v>
      </c>
      <c r="D50" s="307">
        <f t="shared" ref="D50:D71" si="8">J50/I50*10000</f>
        <v>7002.2371364653245</v>
      </c>
      <c r="E50" s="22">
        <v>44015</v>
      </c>
      <c r="F50" s="1">
        <v>3</v>
      </c>
      <c r="G50" s="7">
        <v>0.51</v>
      </c>
      <c r="H50" s="8">
        <v>3.72</v>
      </c>
      <c r="I50" s="8">
        <v>4.47</v>
      </c>
      <c r="J50" s="9">
        <v>3.13</v>
      </c>
      <c r="K50" s="11">
        <f t="shared" si="6"/>
        <v>1.5963000000000001</v>
      </c>
      <c r="L50" s="142">
        <f>I50*10000*13500/100000000</f>
        <v>6.0345000000000004</v>
      </c>
      <c r="M50" s="143">
        <f>(L50-J50-(I50*4000/10000)-J50*0.08)</f>
        <v>0.86610000000000054</v>
      </c>
      <c r="N50" s="144">
        <f t="shared" si="7"/>
        <v>0.14352473278647784</v>
      </c>
      <c r="O50" s="318" t="s">
        <v>722</v>
      </c>
      <c r="P50" s="309"/>
    </row>
    <row r="51" spans="1:16" s="265" customFormat="1" ht="27" x14ac:dyDescent="0.2">
      <c r="A51" s="252" t="s">
        <v>38</v>
      </c>
      <c r="B51" s="15" t="s">
        <v>50</v>
      </c>
      <c r="C51" s="238" t="s">
        <v>780</v>
      </c>
      <c r="D51" s="253">
        <f t="shared" si="8"/>
        <v>5213.770127706829</v>
      </c>
      <c r="E51" s="254">
        <v>44016</v>
      </c>
      <c r="F51" s="231">
        <v>4</v>
      </c>
      <c r="G51" s="260">
        <v>1</v>
      </c>
      <c r="H51" s="236">
        <v>7.39</v>
      </c>
      <c r="I51" s="236">
        <f>13.31+4.7</f>
        <v>18.010000000000002</v>
      </c>
      <c r="J51" s="236">
        <v>9.39</v>
      </c>
      <c r="K51" s="236">
        <f t="shared" si="6"/>
        <v>9.39</v>
      </c>
      <c r="L51" s="261">
        <f>I51*10000*14000/100000000</f>
        <v>25.214000000000006</v>
      </c>
      <c r="M51" s="262">
        <f>(L51-J51-(I51*4500/10000)-J51*0.08)</f>
        <v>6.9683000000000055</v>
      </c>
      <c r="N51" s="263">
        <f t="shared" si="7"/>
        <v>0.27636630443404475</v>
      </c>
      <c r="O51" s="319" t="s">
        <v>1721</v>
      </c>
      <c r="P51" s="264" t="s">
        <v>782</v>
      </c>
    </row>
    <row r="52" spans="1:16" s="275" customFormat="1" x14ac:dyDescent="0.2">
      <c r="A52" s="257" t="s">
        <v>38</v>
      </c>
      <c r="B52" s="23" t="s">
        <v>50</v>
      </c>
      <c r="C52" s="23" t="s">
        <v>6</v>
      </c>
      <c r="D52" s="258">
        <f t="shared" si="8"/>
        <v>5633.9684780051748</v>
      </c>
      <c r="E52" s="259">
        <v>44017</v>
      </c>
      <c r="F52" s="231">
        <v>5</v>
      </c>
      <c r="G52" s="269">
        <v>0.4</v>
      </c>
      <c r="H52" s="8">
        <v>17.04</v>
      </c>
      <c r="I52" s="8">
        <f>30.51+12</f>
        <v>42.510000000000005</v>
      </c>
      <c r="J52" s="8">
        <v>23.95</v>
      </c>
      <c r="K52" s="8">
        <f t="shared" si="6"/>
        <v>9.58</v>
      </c>
      <c r="L52" s="270">
        <f>I52*10000*15000/100000000</f>
        <v>63.765000000000008</v>
      </c>
      <c r="M52" s="271">
        <f>(L52-J52-(I52*4000/10000)-J52*0.08)</f>
        <v>20.89500000000001</v>
      </c>
      <c r="N52" s="272">
        <f t="shared" si="7"/>
        <v>0.32768760291696086</v>
      </c>
      <c r="O52" s="273" t="s">
        <v>1722</v>
      </c>
      <c r="P52" s="274" t="s">
        <v>787</v>
      </c>
    </row>
    <row r="53" spans="1:16" s="25" customFormat="1" x14ac:dyDescent="0.2">
      <c r="A53" s="15" t="s">
        <v>110</v>
      </c>
      <c r="B53" s="15" t="s">
        <v>111</v>
      </c>
      <c r="C53" s="238" t="s">
        <v>746</v>
      </c>
      <c r="D53" s="20">
        <f t="shared" si="8"/>
        <v>5614.3162393162393</v>
      </c>
      <c r="E53" s="234">
        <v>44018</v>
      </c>
      <c r="F53" s="1">
        <v>6</v>
      </c>
      <c r="G53" s="235">
        <v>0.6</v>
      </c>
      <c r="H53" s="236">
        <v>7.8</v>
      </c>
      <c r="I53" s="236">
        <v>18.72</v>
      </c>
      <c r="J53" s="237">
        <v>10.51</v>
      </c>
      <c r="K53" s="11">
        <f>J53*G53</f>
        <v>6.306</v>
      </c>
      <c r="L53" s="142">
        <f>I53*10000*12000/100000000</f>
        <v>22.463999999999999</v>
      </c>
      <c r="M53" s="143">
        <f>(L53-J53-(I53*3500/10000)-J53*0.08)</f>
        <v>4.5611999999999995</v>
      </c>
      <c r="N53" s="144">
        <f t="shared" si="7"/>
        <v>0.2030448717948718</v>
      </c>
      <c r="O53" s="86" t="s">
        <v>748</v>
      </c>
      <c r="P53" s="68" t="s">
        <v>747</v>
      </c>
    </row>
    <row r="54" spans="1:16" s="25" customFormat="1" x14ac:dyDescent="0.2">
      <c r="A54" s="19" t="s">
        <v>112</v>
      </c>
      <c r="B54" s="19" t="s">
        <v>113</v>
      </c>
      <c r="C54" s="64" t="s">
        <v>690</v>
      </c>
      <c r="D54" s="20">
        <f t="shared" si="8"/>
        <v>1187.0324189526186</v>
      </c>
      <c r="E54" s="18">
        <v>44019</v>
      </c>
      <c r="F54" s="1">
        <v>7</v>
      </c>
      <c r="G54" s="2">
        <v>1</v>
      </c>
      <c r="H54" s="3">
        <v>7.02</v>
      </c>
      <c r="I54" s="3">
        <f>15.45+4.6</f>
        <v>20.049999999999997</v>
      </c>
      <c r="J54" s="4">
        <v>2.38</v>
      </c>
      <c r="K54" s="11">
        <f t="shared" si="6"/>
        <v>2.38</v>
      </c>
      <c r="L54" s="142">
        <f>I54*10000*8600/100000000</f>
        <v>17.242999999999999</v>
      </c>
      <c r="M54" s="143">
        <f>(L54-J54-(I54*4000/10000)-J54*0.08)</f>
        <v>6.6526000000000014</v>
      </c>
      <c r="N54" s="144">
        <f t="shared" si="7"/>
        <v>0.38581453343385735</v>
      </c>
      <c r="O54" s="66" t="s">
        <v>1055</v>
      </c>
      <c r="P54" s="68" t="s">
        <v>691</v>
      </c>
    </row>
    <row r="55" spans="1:16" s="25" customFormat="1" x14ac:dyDescent="0.2">
      <c r="A55" s="19" t="s">
        <v>114</v>
      </c>
      <c r="B55" s="19" t="s">
        <v>115</v>
      </c>
      <c r="C55" s="19" t="s">
        <v>749</v>
      </c>
      <c r="D55" s="20">
        <f t="shared" si="8"/>
        <v>2280.8988764044939</v>
      </c>
      <c r="E55" s="18">
        <v>44020</v>
      </c>
      <c r="F55" s="1">
        <v>8</v>
      </c>
      <c r="G55" s="2">
        <v>1</v>
      </c>
      <c r="H55" s="3">
        <v>8.9</v>
      </c>
      <c r="I55" s="3">
        <v>17.8</v>
      </c>
      <c r="J55" s="4">
        <v>4.0599999999999996</v>
      </c>
      <c r="K55" s="11">
        <f t="shared" si="6"/>
        <v>4.0599999999999996</v>
      </c>
      <c r="L55" s="142">
        <f>I55*10000*7200/100000000</f>
        <v>12.816000000000001</v>
      </c>
      <c r="M55" s="143">
        <f>(L55-J55-(I55*4000/10000)-J55*0.08)</f>
        <v>1.3112000000000001</v>
      </c>
      <c r="N55" s="144">
        <f t="shared" si="7"/>
        <v>0.1023096129837703</v>
      </c>
      <c r="O55" s="86" t="s">
        <v>750</v>
      </c>
      <c r="P55" s="17"/>
    </row>
    <row r="56" spans="1:16" s="78" customFormat="1" ht="27.75" x14ac:dyDescent="0.2">
      <c r="A56" s="97" t="s">
        <v>1056</v>
      </c>
      <c r="B56" s="98" t="s">
        <v>556</v>
      </c>
      <c r="C56" s="147" t="s">
        <v>1057</v>
      </c>
      <c r="D56" s="73">
        <f t="shared" si="8"/>
        <v>977.2883688919477</v>
      </c>
      <c r="E56" s="99">
        <v>44021</v>
      </c>
      <c r="F56" s="100">
        <v>9</v>
      </c>
      <c r="G56" s="101">
        <v>0.6</v>
      </c>
      <c r="H56" s="102">
        <v>7.27</v>
      </c>
      <c r="I56" s="102">
        <v>14.53</v>
      </c>
      <c r="J56" s="103">
        <v>1.42</v>
      </c>
      <c r="K56" s="96">
        <f t="shared" si="6"/>
        <v>0.85199999999999998</v>
      </c>
      <c r="L56" s="96">
        <f>I56*10000*8500/100000000</f>
        <v>12.3505</v>
      </c>
      <c r="M56" s="145">
        <f>(L56-J56-(I56*4500/10000)-J56*0.08)</f>
        <v>4.2784000000000004</v>
      </c>
      <c r="N56" s="146">
        <f t="shared" si="7"/>
        <v>0.346415124893729</v>
      </c>
      <c r="O56" s="148" t="s">
        <v>786</v>
      </c>
      <c r="P56" s="149" t="s">
        <v>785</v>
      </c>
    </row>
    <row r="57" spans="1:16" s="25" customFormat="1" x14ac:dyDescent="0.2">
      <c r="A57" s="19" t="s">
        <v>62</v>
      </c>
      <c r="B57" s="65" t="s">
        <v>660</v>
      </c>
      <c r="C57" s="64" t="s">
        <v>658</v>
      </c>
      <c r="D57" s="20">
        <f t="shared" si="8"/>
        <v>1661.3076098606646</v>
      </c>
      <c r="E57" s="18">
        <v>44022</v>
      </c>
      <c r="F57" s="1">
        <v>10</v>
      </c>
      <c r="G57" s="2">
        <v>0.51</v>
      </c>
      <c r="H57" s="3">
        <v>3.33</v>
      </c>
      <c r="I57" s="3">
        <v>9.33</v>
      </c>
      <c r="J57" s="4">
        <v>1.55</v>
      </c>
      <c r="K57" s="11">
        <f t="shared" si="6"/>
        <v>0.79050000000000009</v>
      </c>
      <c r="L57" s="142">
        <f>I57*10000*16000/100000000</f>
        <v>14.928000000000001</v>
      </c>
      <c r="M57" s="143">
        <f>(L57-J57-(I57*4500/10000)-J57*0.08)</f>
        <v>9.0555000000000003</v>
      </c>
      <c r="N57" s="144">
        <f t="shared" si="7"/>
        <v>0.60661173633440513</v>
      </c>
      <c r="O57" s="86" t="s">
        <v>1058</v>
      </c>
      <c r="P57" s="68" t="s">
        <v>666</v>
      </c>
    </row>
    <row r="58" spans="1:16" s="25" customFormat="1" x14ac:dyDescent="0.2">
      <c r="A58" s="19" t="s">
        <v>117</v>
      </c>
      <c r="B58" s="19" t="s">
        <v>118</v>
      </c>
      <c r="C58" s="64" t="s">
        <v>593</v>
      </c>
      <c r="D58" s="20">
        <f t="shared" si="8"/>
        <v>4603.1746031746025</v>
      </c>
      <c r="E58" s="18">
        <v>44023</v>
      </c>
      <c r="F58" s="1">
        <v>11</v>
      </c>
      <c r="G58" s="2">
        <v>1</v>
      </c>
      <c r="H58" s="3">
        <v>2.4500000000000002</v>
      </c>
      <c r="I58" s="3">
        <v>4.41</v>
      </c>
      <c r="J58" s="4">
        <v>2.0299999999999998</v>
      </c>
      <c r="K58" s="11">
        <f t="shared" si="6"/>
        <v>2.0299999999999998</v>
      </c>
      <c r="L58" s="142">
        <f>I58*10000*14000/100000000</f>
        <v>6.1740000000000004</v>
      </c>
      <c r="M58" s="143">
        <f t="shared" ref="M58:M69" si="9">(L58-J58-(I58*4000/10000)-J58*0.08)</f>
        <v>2.2176</v>
      </c>
      <c r="N58" s="144">
        <f t="shared" si="7"/>
        <v>0.35918367346938773</v>
      </c>
      <c r="O58" s="86" t="s">
        <v>804</v>
      </c>
      <c r="P58" s="17"/>
    </row>
    <row r="59" spans="1:16" s="25" customFormat="1" x14ac:dyDescent="0.2">
      <c r="A59" s="19" t="s">
        <v>119</v>
      </c>
      <c r="B59" s="65" t="s">
        <v>633</v>
      </c>
      <c r="C59" s="19" t="s">
        <v>632</v>
      </c>
      <c r="D59" s="20">
        <f t="shared" si="8"/>
        <v>4470.588235294118</v>
      </c>
      <c r="E59" s="18">
        <v>44024</v>
      </c>
      <c r="F59" s="1">
        <v>12</v>
      </c>
      <c r="G59" s="2">
        <v>1</v>
      </c>
      <c r="H59" s="3">
        <v>4.58</v>
      </c>
      <c r="I59" s="3">
        <f>11.45+3</f>
        <v>14.45</v>
      </c>
      <c r="J59" s="4">
        <v>6.46</v>
      </c>
      <c r="K59" s="11">
        <f t="shared" si="6"/>
        <v>6.46</v>
      </c>
      <c r="L59" s="142">
        <f>I59*10000*12500/100000000</f>
        <v>18.0625</v>
      </c>
      <c r="M59" s="143">
        <f t="shared" si="9"/>
        <v>5.305699999999999</v>
      </c>
      <c r="N59" s="144">
        <f t="shared" si="7"/>
        <v>0.29374117647058817</v>
      </c>
      <c r="O59" s="66" t="s">
        <v>634</v>
      </c>
      <c r="P59" s="68" t="s">
        <v>639</v>
      </c>
    </row>
    <row r="60" spans="1:16" s="25" customFormat="1" ht="42.75" x14ac:dyDescent="0.2">
      <c r="A60" s="65" t="s">
        <v>591</v>
      </c>
      <c r="B60" s="65" t="s">
        <v>635</v>
      </c>
      <c r="C60" s="19" t="s">
        <v>636</v>
      </c>
      <c r="D60" s="20">
        <f t="shared" si="8"/>
        <v>1170.8185053380782</v>
      </c>
      <c r="E60" s="18">
        <v>44025</v>
      </c>
      <c r="F60" s="1">
        <v>13</v>
      </c>
      <c r="G60" s="2">
        <v>0.3</v>
      </c>
      <c r="H60" s="3">
        <v>19.57</v>
      </c>
      <c r="I60" s="3">
        <f>26.3+1.8</f>
        <v>28.1</v>
      </c>
      <c r="J60" s="4">
        <v>3.29</v>
      </c>
      <c r="K60" s="11">
        <f t="shared" si="6"/>
        <v>0.98699999999999999</v>
      </c>
      <c r="L60" s="142">
        <f>I60*10000*6800/100000000</f>
        <v>19.108000000000001</v>
      </c>
      <c r="M60" s="143">
        <f t="shared" si="9"/>
        <v>4.3148000000000009</v>
      </c>
      <c r="N60" s="144">
        <f t="shared" si="7"/>
        <v>0.2258111785639523</v>
      </c>
      <c r="O60" s="86" t="s">
        <v>641</v>
      </c>
      <c r="P60" s="68" t="s">
        <v>640</v>
      </c>
    </row>
    <row r="61" spans="1:16" s="25" customFormat="1" x14ac:dyDescent="0.2">
      <c r="A61" s="19" t="s">
        <v>41</v>
      </c>
      <c r="B61" s="19" t="s">
        <v>42</v>
      </c>
      <c r="C61" s="19" t="s">
        <v>723</v>
      </c>
      <c r="D61" s="20">
        <f t="shared" si="8"/>
        <v>4791.5142648134597</v>
      </c>
      <c r="E61" s="18">
        <v>44044</v>
      </c>
      <c r="F61" s="1">
        <v>1</v>
      </c>
      <c r="G61" s="2">
        <v>0.49</v>
      </c>
      <c r="H61" s="3">
        <v>5.33</v>
      </c>
      <c r="I61" s="3">
        <f>10.67+3</f>
        <v>13.67</v>
      </c>
      <c r="J61" s="4">
        <v>6.55</v>
      </c>
      <c r="K61" s="11">
        <f t="shared" si="6"/>
        <v>3.2094999999999998</v>
      </c>
      <c r="L61" s="142">
        <f>I61*10000*13300/100000000</f>
        <v>18.181100000000001</v>
      </c>
      <c r="M61" s="143">
        <f t="shared" si="9"/>
        <v>5.6391</v>
      </c>
      <c r="N61" s="144">
        <f t="shared" si="7"/>
        <v>0.31016275142868144</v>
      </c>
      <c r="O61" s="86" t="s">
        <v>1059</v>
      </c>
      <c r="P61" s="68" t="s">
        <v>724</v>
      </c>
    </row>
    <row r="62" spans="1:16" s="25" customFormat="1" x14ac:dyDescent="0.2">
      <c r="A62" s="23" t="s">
        <v>41</v>
      </c>
      <c r="B62" s="23" t="s">
        <v>120</v>
      </c>
      <c r="C62" s="232" t="s">
        <v>726</v>
      </c>
      <c r="D62" s="307">
        <f t="shared" si="8"/>
        <v>6111.7318435754187</v>
      </c>
      <c r="E62" s="22">
        <v>44075</v>
      </c>
      <c r="F62" s="1">
        <v>1</v>
      </c>
      <c r="G62" s="7">
        <v>1</v>
      </c>
      <c r="H62" s="8">
        <v>4.07</v>
      </c>
      <c r="I62" s="8">
        <v>8.9499999999999993</v>
      </c>
      <c r="J62" s="9">
        <v>5.47</v>
      </c>
      <c r="K62" s="11">
        <f t="shared" si="6"/>
        <v>5.47</v>
      </c>
      <c r="L62" s="142">
        <f>I62*10000*12000/100000000</f>
        <v>10.74</v>
      </c>
      <c r="M62" s="143">
        <f t="shared" si="9"/>
        <v>1.2524000000000004</v>
      </c>
      <c r="N62" s="144">
        <f t="shared" si="7"/>
        <v>0.11661080074487899</v>
      </c>
      <c r="O62" s="318" t="s">
        <v>727</v>
      </c>
      <c r="P62" s="309"/>
    </row>
    <row r="63" spans="1:16" s="283" customFormat="1" ht="27" x14ac:dyDescent="0.2">
      <c r="A63" s="243" t="s">
        <v>38</v>
      </c>
      <c r="B63" s="239" t="s">
        <v>39</v>
      </c>
      <c r="C63" s="239" t="s">
        <v>789</v>
      </c>
      <c r="D63" s="276">
        <f t="shared" si="8"/>
        <v>11626.724763979668</v>
      </c>
      <c r="E63" s="277">
        <v>44076</v>
      </c>
      <c r="F63" s="231">
        <v>2</v>
      </c>
      <c r="G63" s="278">
        <v>0.2</v>
      </c>
      <c r="H63" s="241">
        <v>6.26</v>
      </c>
      <c r="I63" s="241">
        <v>13.77</v>
      </c>
      <c r="J63" s="241">
        <v>16.010000000000002</v>
      </c>
      <c r="K63" s="241">
        <f t="shared" si="6"/>
        <v>3.2020000000000004</v>
      </c>
      <c r="L63" s="279">
        <f>I63*10000*21000/100000000</f>
        <v>28.917000000000002</v>
      </c>
      <c r="M63" s="280">
        <f t="shared" si="9"/>
        <v>6.1181999999999999</v>
      </c>
      <c r="N63" s="281">
        <f t="shared" si="7"/>
        <v>0.21157796451914096</v>
      </c>
      <c r="O63" s="248" t="s">
        <v>1724</v>
      </c>
      <c r="P63" s="282" t="s">
        <v>1723</v>
      </c>
    </row>
    <row r="64" spans="1:16" s="25" customFormat="1" ht="27" x14ac:dyDescent="0.2">
      <c r="A64" s="15" t="s">
        <v>121</v>
      </c>
      <c r="B64" s="15" t="s">
        <v>122</v>
      </c>
      <c r="C64" s="15" t="s">
        <v>735</v>
      </c>
      <c r="D64" s="20">
        <f t="shared" si="8"/>
        <v>6791.2772585669791</v>
      </c>
      <c r="E64" s="234">
        <v>44077</v>
      </c>
      <c r="F64" s="1">
        <v>3</v>
      </c>
      <c r="G64" s="235">
        <v>0.33</v>
      </c>
      <c r="H64" s="236">
        <v>4.01</v>
      </c>
      <c r="I64" s="236">
        <v>6.42</v>
      </c>
      <c r="J64" s="237">
        <v>4.3600000000000003</v>
      </c>
      <c r="K64" s="11">
        <f t="shared" si="6"/>
        <v>1.4388000000000001</v>
      </c>
      <c r="L64" s="142">
        <f>I64*10000*16600/100000000</f>
        <v>10.6572</v>
      </c>
      <c r="M64" s="143">
        <f t="shared" si="9"/>
        <v>3.380399999999999</v>
      </c>
      <c r="N64" s="144">
        <f t="shared" si="7"/>
        <v>0.31719400968359412</v>
      </c>
      <c r="O64" s="66" t="s">
        <v>737</v>
      </c>
      <c r="P64" s="68" t="s">
        <v>736</v>
      </c>
    </row>
    <row r="65" spans="1:16" s="25" customFormat="1" x14ac:dyDescent="0.2">
      <c r="A65" s="19" t="s">
        <v>123</v>
      </c>
      <c r="B65" s="19" t="s">
        <v>124</v>
      </c>
      <c r="C65" s="64" t="s">
        <v>751</v>
      </c>
      <c r="D65" s="20">
        <f t="shared" si="8"/>
        <v>8621.4442013129101</v>
      </c>
      <c r="E65" s="18">
        <v>44078</v>
      </c>
      <c r="F65" s="1">
        <v>4</v>
      </c>
      <c r="G65" s="2">
        <v>0.7</v>
      </c>
      <c r="H65" s="3">
        <v>4.57</v>
      </c>
      <c r="I65" s="3">
        <v>9.14</v>
      </c>
      <c r="J65" s="4">
        <v>7.88</v>
      </c>
      <c r="K65" s="11">
        <f t="shared" si="6"/>
        <v>5.516</v>
      </c>
      <c r="L65" s="142">
        <f>I65*10000*16000/100000000</f>
        <v>14.624000000000001</v>
      </c>
      <c r="M65" s="143">
        <f t="shared" si="9"/>
        <v>2.4576000000000007</v>
      </c>
      <c r="N65" s="144">
        <f t="shared" si="7"/>
        <v>0.16805251641137858</v>
      </c>
      <c r="O65" s="66" t="s">
        <v>755</v>
      </c>
      <c r="P65" s="68" t="s">
        <v>752</v>
      </c>
    </row>
    <row r="66" spans="1:16" s="25" customFormat="1" x14ac:dyDescent="0.2">
      <c r="A66" s="19" t="s">
        <v>25</v>
      </c>
      <c r="B66" s="19" t="s">
        <v>125</v>
      </c>
      <c r="C66" s="19" t="s">
        <v>5</v>
      </c>
      <c r="D66" s="20">
        <f t="shared" si="8"/>
        <v>7917.1974522292994</v>
      </c>
      <c r="E66" s="18">
        <v>44079</v>
      </c>
      <c r="F66" s="1">
        <v>5</v>
      </c>
      <c r="G66" s="2">
        <v>0.25</v>
      </c>
      <c r="H66" s="3">
        <v>14.27</v>
      </c>
      <c r="I66" s="3">
        <v>31.4</v>
      </c>
      <c r="J66" s="4">
        <v>24.86</v>
      </c>
      <c r="K66" s="11">
        <f t="shared" ref="K66:K97" si="10">J66*G66</f>
        <v>6.2149999999999999</v>
      </c>
      <c r="L66" s="142">
        <f>I66*10000*16000/100000000</f>
        <v>50.24</v>
      </c>
      <c r="M66" s="143">
        <f t="shared" si="9"/>
        <v>10.831200000000003</v>
      </c>
      <c r="N66" s="144">
        <f t="shared" si="7"/>
        <v>0.21558917197452235</v>
      </c>
      <c r="O66" s="86" t="s">
        <v>733</v>
      </c>
      <c r="P66" s="17"/>
    </row>
    <row r="67" spans="1:16" s="25" customFormat="1" x14ac:dyDescent="0.2">
      <c r="A67" s="19" t="s">
        <v>126</v>
      </c>
      <c r="B67" s="19" t="s">
        <v>127</v>
      </c>
      <c r="C67" s="64" t="s">
        <v>756</v>
      </c>
      <c r="D67" s="307">
        <f t="shared" si="8"/>
        <v>10743.243243243243</v>
      </c>
      <c r="E67" s="18">
        <v>44080</v>
      </c>
      <c r="F67" s="1">
        <v>6</v>
      </c>
      <c r="G67" s="2">
        <v>0.49</v>
      </c>
      <c r="H67" s="3">
        <v>4.3899999999999997</v>
      </c>
      <c r="I67" s="3">
        <v>11.84</v>
      </c>
      <c r="J67" s="4">
        <v>12.72</v>
      </c>
      <c r="K67" s="11">
        <f t="shared" si="10"/>
        <v>6.2328000000000001</v>
      </c>
      <c r="L67" s="142">
        <f>I67*10000*20000/100000000</f>
        <v>23.68</v>
      </c>
      <c r="M67" s="143">
        <f t="shared" si="9"/>
        <v>5.2063999999999995</v>
      </c>
      <c r="N67" s="144">
        <f t="shared" si="7"/>
        <v>0.21986486486486484</v>
      </c>
      <c r="O67" s="139" t="s">
        <v>757</v>
      </c>
      <c r="P67" s="309"/>
    </row>
    <row r="68" spans="1:16" s="25" customFormat="1" ht="28.5" x14ac:dyDescent="0.2">
      <c r="A68" s="19" t="s">
        <v>31</v>
      </c>
      <c r="B68" s="65" t="s">
        <v>813</v>
      </c>
      <c r="C68" s="65" t="s">
        <v>685</v>
      </c>
      <c r="D68" s="20">
        <f t="shared" si="8"/>
        <v>2431.9629415170816</v>
      </c>
      <c r="E68" s="18">
        <v>44081</v>
      </c>
      <c r="F68" s="1">
        <v>7</v>
      </c>
      <c r="G68" s="2">
        <v>0.33</v>
      </c>
      <c r="H68" s="3">
        <v>7.85</v>
      </c>
      <c r="I68" s="3">
        <v>17.27</v>
      </c>
      <c r="J68" s="4">
        <v>4.2</v>
      </c>
      <c r="K68" s="11">
        <f t="shared" si="10"/>
        <v>1.3860000000000001</v>
      </c>
      <c r="L68" s="142">
        <f>I68*10000*10600/100000000</f>
        <v>18.3062</v>
      </c>
      <c r="M68" s="143">
        <f t="shared" si="9"/>
        <v>6.8622000000000005</v>
      </c>
      <c r="N68" s="144">
        <f t="shared" si="7"/>
        <v>0.37485660595863696</v>
      </c>
      <c r="O68" s="13" t="s">
        <v>686</v>
      </c>
      <c r="P68" s="68" t="s">
        <v>692</v>
      </c>
    </row>
    <row r="69" spans="1:16" s="25" customFormat="1" x14ac:dyDescent="0.2">
      <c r="A69" s="19" t="s">
        <v>55</v>
      </c>
      <c r="B69" s="19" t="s">
        <v>90</v>
      </c>
      <c r="C69" s="65" t="s">
        <v>702</v>
      </c>
      <c r="D69" s="20">
        <f t="shared" si="8"/>
        <v>5993.555316863587</v>
      </c>
      <c r="E69" s="18">
        <v>44082</v>
      </c>
      <c r="F69" s="1">
        <v>8</v>
      </c>
      <c r="G69" s="2">
        <v>1</v>
      </c>
      <c r="H69" s="3">
        <v>5.17</v>
      </c>
      <c r="I69" s="3">
        <v>9.31</v>
      </c>
      <c r="J69" s="4">
        <v>5.58</v>
      </c>
      <c r="K69" s="11">
        <f t="shared" si="10"/>
        <v>5.58</v>
      </c>
      <c r="L69" s="142">
        <f>I69*10000*11000/100000000</f>
        <v>10.241</v>
      </c>
      <c r="M69" s="143">
        <f t="shared" si="9"/>
        <v>0.49059999999999937</v>
      </c>
      <c r="N69" s="144">
        <f t="shared" si="7"/>
        <v>4.7905477980665891E-2</v>
      </c>
      <c r="O69" s="86" t="s">
        <v>703</v>
      </c>
      <c r="P69" s="17"/>
    </row>
    <row r="70" spans="1:16" s="25" customFormat="1" x14ac:dyDescent="0.2">
      <c r="A70" s="19" t="s">
        <v>128</v>
      </c>
      <c r="B70" s="19" t="s">
        <v>129</v>
      </c>
      <c r="C70" s="19" t="s">
        <v>16</v>
      </c>
      <c r="D70" s="20">
        <f t="shared" si="8"/>
        <v>5563.5491606714622</v>
      </c>
      <c r="E70" s="18">
        <v>44083</v>
      </c>
      <c r="F70" s="1">
        <v>9</v>
      </c>
      <c r="G70" s="2">
        <v>1</v>
      </c>
      <c r="H70" s="3">
        <v>6.86</v>
      </c>
      <c r="I70" s="3">
        <v>12.51</v>
      </c>
      <c r="J70" s="4">
        <v>6.96</v>
      </c>
      <c r="K70" s="11">
        <f t="shared" si="10"/>
        <v>6.96</v>
      </c>
      <c r="L70" s="142">
        <f>I70*10000*11000/100000000</f>
        <v>13.760999999999999</v>
      </c>
      <c r="M70" s="143">
        <f>(L70-J70-(I70*3500/10000)-J70*0.08)</f>
        <v>1.8656999999999995</v>
      </c>
      <c r="N70" s="144">
        <f t="shared" si="7"/>
        <v>0.13557880967952907</v>
      </c>
      <c r="O70" s="86" t="s">
        <v>1731</v>
      </c>
      <c r="P70" s="68" t="s">
        <v>715</v>
      </c>
    </row>
    <row r="71" spans="1:16" s="25" customFormat="1" ht="27" x14ac:dyDescent="0.2">
      <c r="A71" s="19" t="s">
        <v>117</v>
      </c>
      <c r="B71" s="65" t="s">
        <v>707</v>
      </c>
      <c r="C71" s="19" t="s">
        <v>2</v>
      </c>
      <c r="D71" s="20">
        <f t="shared" si="8"/>
        <v>4542.1511627906975</v>
      </c>
      <c r="E71" s="18">
        <v>44084</v>
      </c>
      <c r="F71" s="1">
        <v>10</v>
      </c>
      <c r="G71" s="2">
        <v>0.51</v>
      </c>
      <c r="H71" s="3">
        <v>4.59</v>
      </c>
      <c r="I71" s="3">
        <v>13.76</v>
      </c>
      <c r="J71" s="4">
        <v>6.25</v>
      </c>
      <c r="K71" s="11">
        <f t="shared" si="10"/>
        <v>3.1875</v>
      </c>
      <c r="L71" s="142">
        <f>I71*10000*9800/100000000</f>
        <v>13.4848</v>
      </c>
      <c r="M71" s="143">
        <f>(L71-J71-(I71*4000/10000)-J71*0.08)</f>
        <v>1.2308000000000003</v>
      </c>
      <c r="N71" s="144">
        <f t="shared" si="7"/>
        <v>9.1273137161841503E-2</v>
      </c>
      <c r="O71" s="66" t="s">
        <v>791</v>
      </c>
      <c r="P71" s="17"/>
    </row>
    <row r="72" spans="1:16" s="78" customFormat="1" ht="27" x14ac:dyDescent="0.2">
      <c r="A72" s="91" t="s">
        <v>828</v>
      </c>
      <c r="B72" s="328" t="s">
        <v>550</v>
      </c>
      <c r="C72" s="91" t="s">
        <v>829</v>
      </c>
      <c r="D72" s="73">
        <v>11812.21</v>
      </c>
      <c r="E72" s="333">
        <v>44085</v>
      </c>
      <c r="F72" s="92">
        <v>11</v>
      </c>
      <c r="G72" s="93">
        <v>1</v>
      </c>
      <c r="H72" s="94">
        <v>3.84</v>
      </c>
      <c r="I72" s="94">
        <v>17.3</v>
      </c>
      <c r="J72" s="95">
        <v>23.2</v>
      </c>
      <c r="K72" s="96">
        <f t="shared" si="10"/>
        <v>23.2</v>
      </c>
      <c r="L72" s="142">
        <f>I72*10000*20000/100000000</f>
        <v>34.6</v>
      </c>
      <c r="M72" s="143">
        <f>(L72-J72-(I72*4000/10000)-J72*0.08)</f>
        <v>2.6240000000000023</v>
      </c>
      <c r="N72" s="144">
        <f t="shared" si="7"/>
        <v>7.58381502890174E-2</v>
      </c>
      <c r="O72" s="148" t="s">
        <v>616</v>
      </c>
      <c r="P72" s="74"/>
    </row>
    <row r="73" spans="1:16" s="25" customFormat="1" x14ac:dyDescent="0.2">
      <c r="A73" s="23" t="s">
        <v>121</v>
      </c>
      <c r="B73" s="23" t="s">
        <v>132</v>
      </c>
      <c r="C73" s="23" t="s">
        <v>738</v>
      </c>
      <c r="D73" s="20">
        <f t="shared" ref="D73:D108" si="11">J73/I73*10000</f>
        <v>15600.145932141553</v>
      </c>
      <c r="E73" s="24">
        <v>44105</v>
      </c>
      <c r="F73" s="23">
        <v>1</v>
      </c>
      <c r="G73" s="7">
        <v>0.05</v>
      </c>
      <c r="H73" s="8">
        <v>13.33</v>
      </c>
      <c r="I73" s="8">
        <v>27.41</v>
      </c>
      <c r="J73" s="9">
        <v>42.76</v>
      </c>
      <c r="K73" s="11">
        <f t="shared" si="10"/>
        <v>2.1379999999999999</v>
      </c>
      <c r="L73" s="142">
        <f>I73*10000*25500/100000000</f>
        <v>69.895499999999998</v>
      </c>
      <c r="M73" s="143">
        <f>(L73-J73-(I73*4000/10000)-J73*0.08)</f>
        <v>12.750700000000002</v>
      </c>
      <c r="N73" s="144">
        <f t="shared" si="7"/>
        <v>0.18242519189361264</v>
      </c>
      <c r="O73" s="86" t="s">
        <v>739</v>
      </c>
      <c r="P73" s="17"/>
    </row>
    <row r="74" spans="1:16" s="25" customFormat="1" x14ac:dyDescent="0.2">
      <c r="A74" s="23" t="s">
        <v>121</v>
      </c>
      <c r="B74" s="23" t="s">
        <v>132</v>
      </c>
      <c r="C74" s="23" t="s">
        <v>133</v>
      </c>
      <c r="D74" s="20">
        <f t="shared" si="11"/>
        <v>1270.9497206703913</v>
      </c>
      <c r="E74" s="24">
        <v>44106</v>
      </c>
      <c r="F74" s="23">
        <v>2</v>
      </c>
      <c r="G74" s="7">
        <v>0.1</v>
      </c>
      <c r="H74" s="8">
        <v>11.46</v>
      </c>
      <c r="I74" s="8">
        <v>35.799999999999997</v>
      </c>
      <c r="J74" s="9">
        <v>4.55</v>
      </c>
      <c r="K74" s="11">
        <f t="shared" si="10"/>
        <v>0.45500000000000002</v>
      </c>
      <c r="L74" s="142">
        <f>I74*10000*25500/100000000</f>
        <v>91.29</v>
      </c>
      <c r="M74" s="143">
        <f>(L74-J74-(I74*4000/10000)-J74*0.08)</f>
        <v>72.056000000000012</v>
      </c>
      <c r="N74" s="144">
        <f t="shared" si="7"/>
        <v>0.78930879614415606</v>
      </c>
      <c r="O74" s="86" t="s">
        <v>739</v>
      </c>
      <c r="P74" s="17"/>
    </row>
    <row r="75" spans="1:16" s="25" customFormat="1" x14ac:dyDescent="0.2">
      <c r="A75" s="23" t="s">
        <v>121</v>
      </c>
      <c r="B75" s="23" t="s">
        <v>134</v>
      </c>
      <c r="C75" s="23" t="s">
        <v>706</v>
      </c>
      <c r="D75" s="20">
        <f t="shared" si="11"/>
        <v>4000</v>
      </c>
      <c r="E75" s="24">
        <v>44107</v>
      </c>
      <c r="F75" s="23">
        <v>3</v>
      </c>
      <c r="G75" s="12">
        <v>0.375</v>
      </c>
      <c r="H75" s="8">
        <v>12.9</v>
      </c>
      <c r="I75" s="8">
        <v>25.8</v>
      </c>
      <c r="J75" s="9">
        <v>10.32</v>
      </c>
      <c r="K75" s="11">
        <f t="shared" si="10"/>
        <v>3.87</v>
      </c>
      <c r="L75" s="142"/>
      <c r="M75" s="143"/>
      <c r="N75" s="144"/>
      <c r="O75" s="13"/>
      <c r="P75" s="17"/>
    </row>
    <row r="76" spans="1:16" s="27" customFormat="1" ht="40.5" x14ac:dyDescent="0.25">
      <c r="A76" s="23" t="s">
        <v>33</v>
      </c>
      <c r="B76" s="63" t="s">
        <v>679</v>
      </c>
      <c r="C76" s="63" t="s">
        <v>678</v>
      </c>
      <c r="D76" s="20">
        <f t="shared" si="11"/>
        <v>6305.4607508532408</v>
      </c>
      <c r="E76" s="24">
        <v>44108</v>
      </c>
      <c r="F76" s="23">
        <v>4</v>
      </c>
      <c r="G76" s="7">
        <v>1</v>
      </c>
      <c r="H76" s="8">
        <v>5.86</v>
      </c>
      <c r="I76" s="8">
        <v>11.72</v>
      </c>
      <c r="J76" s="9">
        <v>7.39</v>
      </c>
      <c r="K76" s="11">
        <f t="shared" si="10"/>
        <v>7.39</v>
      </c>
      <c r="L76" s="142">
        <f>I76*10000*12000/100000000</f>
        <v>14.064</v>
      </c>
      <c r="M76" s="143">
        <f t="shared" ref="M76:M82" si="12">(L76-J76-(I76*4000/10000)-J76*0.08)</f>
        <v>1.3948000000000007</v>
      </c>
      <c r="N76" s="144">
        <f t="shared" ref="N76:N82" si="13">M76/L76</f>
        <v>9.9175199089874905E-2</v>
      </c>
      <c r="O76" s="66" t="s">
        <v>680</v>
      </c>
      <c r="P76" s="173"/>
    </row>
    <row r="77" spans="1:16" s="25" customFormat="1" ht="28.5" x14ac:dyDescent="0.2">
      <c r="A77" s="23" t="s">
        <v>62</v>
      </c>
      <c r="B77" s="63" t="s">
        <v>1063</v>
      </c>
      <c r="C77" s="23" t="s">
        <v>551</v>
      </c>
      <c r="D77" s="307">
        <f t="shared" si="11"/>
        <v>4551.811824539097</v>
      </c>
      <c r="E77" s="24">
        <v>44109</v>
      </c>
      <c r="F77" s="23">
        <v>5</v>
      </c>
      <c r="G77" s="7">
        <v>0.51</v>
      </c>
      <c r="H77" s="8">
        <v>9.3000000000000007</v>
      </c>
      <c r="I77" s="8">
        <v>31.46</v>
      </c>
      <c r="J77" s="9">
        <v>14.32</v>
      </c>
      <c r="K77" s="11">
        <f t="shared" si="10"/>
        <v>7.3032000000000004</v>
      </c>
      <c r="L77" s="142">
        <f>I77*10000*17000/100000000</f>
        <v>53.481999999999999</v>
      </c>
      <c r="M77" s="143">
        <f t="shared" si="12"/>
        <v>25.432400000000001</v>
      </c>
      <c r="N77" s="144">
        <f t="shared" si="13"/>
        <v>0.47553195467633974</v>
      </c>
      <c r="O77" s="318" t="s">
        <v>663</v>
      </c>
      <c r="P77" s="138" t="s">
        <v>664</v>
      </c>
    </row>
    <row r="78" spans="1:16" s="25" customFormat="1" x14ac:dyDescent="0.2">
      <c r="A78" s="23" t="s">
        <v>136</v>
      </c>
      <c r="B78" s="23" t="s">
        <v>137</v>
      </c>
      <c r="C78" s="23" t="s">
        <v>655</v>
      </c>
      <c r="D78" s="20">
        <f t="shared" si="11"/>
        <v>2413.7931034482758</v>
      </c>
      <c r="E78" s="24">
        <v>44110</v>
      </c>
      <c r="F78" s="23">
        <v>6</v>
      </c>
      <c r="G78" s="7">
        <v>1</v>
      </c>
      <c r="H78" s="8">
        <v>2.9</v>
      </c>
      <c r="I78" s="8">
        <v>7.54</v>
      </c>
      <c r="J78" s="9">
        <v>1.82</v>
      </c>
      <c r="K78" s="11">
        <f t="shared" si="10"/>
        <v>1.82</v>
      </c>
      <c r="L78" s="142">
        <f>I78*10000*8000/100000000</f>
        <v>6.032</v>
      </c>
      <c r="M78" s="143">
        <f t="shared" si="12"/>
        <v>1.0503999999999998</v>
      </c>
      <c r="N78" s="144">
        <f t="shared" si="13"/>
        <v>0.17413793103448272</v>
      </c>
      <c r="O78" s="86" t="s">
        <v>806</v>
      </c>
      <c r="P78" s="68" t="s">
        <v>805</v>
      </c>
    </row>
    <row r="79" spans="1:16" s="25" customFormat="1" x14ac:dyDescent="0.2">
      <c r="A79" s="63" t="s">
        <v>618</v>
      </c>
      <c r="B79" s="23" t="s">
        <v>68</v>
      </c>
      <c r="C79" s="23" t="s">
        <v>617</v>
      </c>
      <c r="D79" s="20">
        <f t="shared" si="11"/>
        <v>9148.3516483516487</v>
      </c>
      <c r="E79" s="24">
        <v>44111</v>
      </c>
      <c r="F79" s="23">
        <v>7</v>
      </c>
      <c r="G79" s="7">
        <v>1</v>
      </c>
      <c r="H79" s="8">
        <v>2.16</v>
      </c>
      <c r="I79" s="8">
        <v>3.64</v>
      </c>
      <c r="J79" s="9">
        <v>3.33</v>
      </c>
      <c r="K79" s="11">
        <f t="shared" si="10"/>
        <v>3.33</v>
      </c>
      <c r="L79" s="142">
        <f>I79*10000*14600/100000000</f>
        <v>5.3144</v>
      </c>
      <c r="M79" s="143">
        <f t="shared" si="12"/>
        <v>0.26199999999999996</v>
      </c>
      <c r="N79" s="144">
        <f t="shared" si="13"/>
        <v>4.93000150534397E-2</v>
      </c>
      <c r="O79" s="86" t="s">
        <v>619</v>
      </c>
      <c r="P79" s="17"/>
    </row>
    <row r="80" spans="1:16" s="25" customFormat="1" x14ac:dyDescent="0.2">
      <c r="A80" s="23" t="s">
        <v>67</v>
      </c>
      <c r="B80" s="23" t="s">
        <v>68</v>
      </c>
      <c r="C80" s="23" t="s">
        <v>620</v>
      </c>
      <c r="D80" s="307">
        <f t="shared" si="11"/>
        <v>9556.1357702349869</v>
      </c>
      <c r="E80" s="24">
        <v>44112</v>
      </c>
      <c r="F80" s="23">
        <v>8</v>
      </c>
      <c r="G80" s="7">
        <v>1</v>
      </c>
      <c r="H80" s="8">
        <v>2.4700000000000002</v>
      </c>
      <c r="I80" s="8">
        <v>3.83</v>
      </c>
      <c r="J80" s="9">
        <v>3.66</v>
      </c>
      <c r="K80" s="11">
        <f t="shared" si="10"/>
        <v>3.66</v>
      </c>
      <c r="L80" s="142">
        <f>I80*10000*14600/100000000</f>
        <v>5.5918000000000001</v>
      </c>
      <c r="M80" s="143">
        <f t="shared" si="12"/>
        <v>0.10699999999999993</v>
      </c>
      <c r="N80" s="144">
        <f t="shared" si="13"/>
        <v>1.9135162201795473E-2</v>
      </c>
      <c r="O80" s="139" t="s">
        <v>621</v>
      </c>
      <c r="P80" s="309"/>
    </row>
    <row r="81" spans="1:16" s="25" customFormat="1" x14ac:dyDescent="0.2">
      <c r="A81" s="23" t="s">
        <v>67</v>
      </c>
      <c r="B81" s="23" t="s">
        <v>68</v>
      </c>
      <c r="C81" s="23" t="s">
        <v>138</v>
      </c>
      <c r="D81" s="20">
        <f t="shared" si="11"/>
        <v>9433.3333333333339</v>
      </c>
      <c r="E81" s="24">
        <v>44113</v>
      </c>
      <c r="F81" s="23">
        <v>9</v>
      </c>
      <c r="G81" s="7">
        <v>1</v>
      </c>
      <c r="H81" s="8">
        <v>1.91</v>
      </c>
      <c r="I81" s="8">
        <v>3</v>
      </c>
      <c r="J81" s="9">
        <v>2.83</v>
      </c>
      <c r="K81" s="11">
        <f t="shared" si="10"/>
        <v>2.83</v>
      </c>
      <c r="L81" s="142">
        <f>I81*10000*14600/100000000</f>
        <v>4.38</v>
      </c>
      <c r="M81" s="143">
        <f t="shared" si="12"/>
        <v>0.12359999999999985</v>
      </c>
      <c r="N81" s="144">
        <f t="shared" si="13"/>
        <v>2.8219178082191747E-2</v>
      </c>
      <c r="O81" s="66" t="s">
        <v>621</v>
      </c>
      <c r="P81" s="17"/>
    </row>
    <row r="82" spans="1:16" s="25" customFormat="1" ht="28.5" x14ac:dyDescent="0.2">
      <c r="A82" s="23" t="s">
        <v>47</v>
      </c>
      <c r="B82" s="23" t="s">
        <v>139</v>
      </c>
      <c r="C82" s="23" t="s">
        <v>713</v>
      </c>
      <c r="D82" s="20">
        <f t="shared" si="11"/>
        <v>19762.258543833581</v>
      </c>
      <c r="E82" s="24">
        <v>44136</v>
      </c>
      <c r="F82" s="23">
        <v>1</v>
      </c>
      <c r="G82" s="7">
        <v>0.34</v>
      </c>
      <c r="H82" s="8">
        <v>3.36</v>
      </c>
      <c r="I82" s="8">
        <v>6.73</v>
      </c>
      <c r="J82" s="9">
        <v>13.3</v>
      </c>
      <c r="K82" s="11">
        <f t="shared" si="10"/>
        <v>4.5220000000000002</v>
      </c>
      <c r="L82" s="142">
        <f>I82*10000*27500/100000000</f>
        <v>18.5075</v>
      </c>
      <c r="M82" s="143">
        <f t="shared" si="12"/>
        <v>1.4514999999999993</v>
      </c>
      <c r="N82" s="144">
        <f t="shared" si="13"/>
        <v>7.8427664460353874E-2</v>
      </c>
      <c r="O82" s="86" t="s">
        <v>716</v>
      </c>
      <c r="P82" s="68" t="s">
        <v>714</v>
      </c>
    </row>
    <row r="83" spans="1:16" s="265" customFormat="1" x14ac:dyDescent="0.2">
      <c r="A83" s="252" t="s">
        <v>38</v>
      </c>
      <c r="B83" s="15" t="s">
        <v>140</v>
      </c>
      <c r="C83" s="15" t="s">
        <v>792</v>
      </c>
      <c r="D83" s="253">
        <f t="shared" si="11"/>
        <v>11174.08906882591</v>
      </c>
      <c r="E83" s="254">
        <v>44137</v>
      </c>
      <c r="F83" s="334">
        <v>2</v>
      </c>
      <c r="G83" s="260">
        <v>1</v>
      </c>
      <c r="H83" s="236">
        <v>4.12</v>
      </c>
      <c r="I83" s="236">
        <v>7.41</v>
      </c>
      <c r="J83" s="236">
        <v>8.2799999999999994</v>
      </c>
      <c r="K83" s="236">
        <f t="shared" si="10"/>
        <v>8.2799999999999994</v>
      </c>
      <c r="L83" s="261"/>
      <c r="M83" s="262"/>
      <c r="N83" s="263"/>
      <c r="O83" s="319" t="s">
        <v>1727</v>
      </c>
      <c r="P83" s="264" t="s">
        <v>1730</v>
      </c>
    </row>
    <row r="84" spans="1:16" s="275" customFormat="1" x14ac:dyDescent="0.2">
      <c r="A84" s="257" t="s">
        <v>38</v>
      </c>
      <c r="B84" s="23" t="s">
        <v>50</v>
      </c>
      <c r="C84" s="23" t="s">
        <v>793</v>
      </c>
      <c r="D84" s="258">
        <f t="shared" si="11"/>
        <v>8850.8064516129034</v>
      </c>
      <c r="E84" s="259">
        <v>44138</v>
      </c>
      <c r="F84" s="334">
        <v>3</v>
      </c>
      <c r="G84" s="269">
        <v>0.55000000000000004</v>
      </c>
      <c r="H84" s="8">
        <v>2.85</v>
      </c>
      <c r="I84" s="8">
        <v>4.96</v>
      </c>
      <c r="J84" s="8">
        <v>4.3899999999999997</v>
      </c>
      <c r="K84" s="8">
        <f t="shared" si="10"/>
        <v>2.4144999999999999</v>
      </c>
      <c r="L84" s="270"/>
      <c r="M84" s="271"/>
      <c r="N84" s="272"/>
      <c r="O84" s="273" t="s">
        <v>1726</v>
      </c>
      <c r="P84" s="274" t="s">
        <v>1725</v>
      </c>
    </row>
    <row r="85" spans="1:16" s="25" customFormat="1" x14ac:dyDescent="0.2">
      <c r="A85" s="239" t="s">
        <v>121</v>
      </c>
      <c r="B85" s="239" t="s">
        <v>122</v>
      </c>
      <c r="C85" s="239" t="s">
        <v>740</v>
      </c>
      <c r="D85" s="20">
        <f t="shared" si="11"/>
        <v>5923.482849604221</v>
      </c>
      <c r="E85" s="24">
        <v>44139</v>
      </c>
      <c r="F85" s="23">
        <v>4</v>
      </c>
      <c r="G85" s="240">
        <v>0.56000000000000005</v>
      </c>
      <c r="H85" s="241">
        <v>3.16</v>
      </c>
      <c r="I85" s="241">
        <v>7.58</v>
      </c>
      <c r="J85" s="242">
        <v>4.49</v>
      </c>
      <c r="K85" s="11">
        <f t="shared" si="10"/>
        <v>2.5144000000000002</v>
      </c>
      <c r="L85" s="142">
        <f>I85*10000*10000/100000000</f>
        <v>7.58</v>
      </c>
      <c r="M85" s="143">
        <f>(L85-J85-(I85*4000/10000)-J85*0.08)</f>
        <v>-0.30120000000000019</v>
      </c>
      <c r="N85" s="144">
        <f>M85/L85</f>
        <v>-3.9736147757255959E-2</v>
      </c>
      <c r="O85" s="66" t="s">
        <v>742</v>
      </c>
      <c r="P85" s="68" t="s">
        <v>741</v>
      </c>
    </row>
    <row r="86" spans="1:16" s="25" customFormat="1" x14ac:dyDescent="0.2">
      <c r="A86" s="23" t="s">
        <v>121</v>
      </c>
      <c r="B86" s="23" t="s">
        <v>122</v>
      </c>
      <c r="C86" s="23" t="s">
        <v>743</v>
      </c>
      <c r="D86" s="307">
        <f t="shared" si="11"/>
        <v>5041.3223140495866</v>
      </c>
      <c r="E86" s="24">
        <v>44140</v>
      </c>
      <c r="F86" s="23">
        <v>5</v>
      </c>
      <c r="G86" s="7">
        <v>0.56000000000000005</v>
      </c>
      <c r="H86" s="8">
        <v>3.03</v>
      </c>
      <c r="I86" s="8">
        <v>6.05</v>
      </c>
      <c r="J86" s="9">
        <v>3.05</v>
      </c>
      <c r="K86" s="11">
        <f t="shared" si="10"/>
        <v>1.708</v>
      </c>
      <c r="L86" s="142">
        <f>I86*10000*10000/100000000</f>
        <v>6.05</v>
      </c>
      <c r="M86" s="143">
        <f>(L86-J86-(I86*4000/10000)-J86*0.08)</f>
        <v>0.33600000000000008</v>
      </c>
      <c r="N86" s="144">
        <f>M86/L86</f>
        <v>5.5537190082644641E-2</v>
      </c>
      <c r="O86" s="318" t="s">
        <v>744</v>
      </c>
      <c r="P86" s="309"/>
    </row>
    <row r="87" spans="1:16" s="78" customFormat="1" x14ac:dyDescent="0.2">
      <c r="A87" s="91" t="s">
        <v>834</v>
      </c>
      <c r="B87" s="91" t="s">
        <v>835</v>
      </c>
      <c r="C87" s="91" t="s">
        <v>836</v>
      </c>
      <c r="D87" s="73">
        <f t="shared" si="11"/>
        <v>8804.0712468193378</v>
      </c>
      <c r="E87" s="308">
        <v>44141</v>
      </c>
      <c r="F87" s="91">
        <v>6</v>
      </c>
      <c r="G87" s="93">
        <v>0.55000000000000004</v>
      </c>
      <c r="H87" s="94">
        <v>8.11</v>
      </c>
      <c r="I87" s="94">
        <v>15.72</v>
      </c>
      <c r="J87" s="95">
        <v>13.84</v>
      </c>
      <c r="K87" s="96">
        <f t="shared" si="10"/>
        <v>7.6120000000000001</v>
      </c>
      <c r="L87" s="142">
        <f>I87*10000*16000/100000000</f>
        <v>25.152000000000001</v>
      </c>
      <c r="M87" s="143">
        <f>(L87-J87-(I87*4000/10000)-J87*0.08)</f>
        <v>3.9168000000000012</v>
      </c>
      <c r="N87" s="144">
        <f>M87/L87</f>
        <v>0.15572519083969469</v>
      </c>
      <c r="O87" s="88" t="s">
        <v>837</v>
      </c>
      <c r="P87" s="74"/>
    </row>
    <row r="88" spans="1:16" s="25" customFormat="1" x14ac:dyDescent="0.2">
      <c r="A88" s="23" t="s">
        <v>141</v>
      </c>
      <c r="B88" s="23" t="s">
        <v>142</v>
      </c>
      <c r="C88" s="23" t="s">
        <v>758</v>
      </c>
      <c r="D88" s="20">
        <f t="shared" si="11"/>
        <v>8530.8641975308656</v>
      </c>
      <c r="E88" s="24">
        <v>44142</v>
      </c>
      <c r="F88" s="23">
        <v>7</v>
      </c>
      <c r="G88" s="7">
        <v>0.5</v>
      </c>
      <c r="H88" s="8">
        <v>5.4</v>
      </c>
      <c r="I88" s="8">
        <v>8.1</v>
      </c>
      <c r="J88" s="9">
        <v>6.91</v>
      </c>
      <c r="K88" s="11">
        <f t="shared" si="10"/>
        <v>3.4550000000000001</v>
      </c>
      <c r="L88" s="142">
        <f>I88*10000*16000/100000000</f>
        <v>12.96</v>
      </c>
      <c r="M88" s="143">
        <f>(L88-J88-(I88*4000/10000)-J88*0.08)</f>
        <v>2.2572000000000005</v>
      </c>
      <c r="N88" s="144">
        <f>M88/L88</f>
        <v>0.17416666666666669</v>
      </c>
      <c r="O88" s="86" t="s">
        <v>759</v>
      </c>
      <c r="P88" s="68" t="s">
        <v>764</v>
      </c>
    </row>
    <row r="89" spans="1:16" s="25" customFormat="1" ht="41.25" x14ac:dyDescent="0.2">
      <c r="A89" s="23" t="s">
        <v>143</v>
      </c>
      <c r="B89" s="23" t="s">
        <v>144</v>
      </c>
      <c r="C89" s="23" t="s">
        <v>552</v>
      </c>
      <c r="D89" s="20">
        <f t="shared" si="11"/>
        <v>1460.4810996563572</v>
      </c>
      <c r="E89" s="174">
        <v>44143</v>
      </c>
      <c r="F89" s="23">
        <v>8</v>
      </c>
      <c r="G89" s="7">
        <v>0.39</v>
      </c>
      <c r="H89" s="8">
        <v>7.76</v>
      </c>
      <c r="I89" s="8">
        <v>11.64</v>
      </c>
      <c r="J89" s="9">
        <v>1.7</v>
      </c>
      <c r="K89" s="11">
        <f t="shared" si="10"/>
        <v>0.66300000000000003</v>
      </c>
      <c r="L89" s="142"/>
      <c r="M89" s="143"/>
      <c r="N89" s="144"/>
      <c r="O89" s="13"/>
      <c r="P89" s="17"/>
    </row>
    <row r="90" spans="1:16" s="25" customFormat="1" x14ac:dyDescent="0.2">
      <c r="A90" s="23" t="s">
        <v>69</v>
      </c>
      <c r="B90" s="23" t="s">
        <v>70</v>
      </c>
      <c r="C90" s="23" t="s">
        <v>145</v>
      </c>
      <c r="D90" s="20">
        <f t="shared" si="11"/>
        <v>10164.051355206846</v>
      </c>
      <c r="E90" s="24">
        <v>44144</v>
      </c>
      <c r="F90" s="23">
        <v>9</v>
      </c>
      <c r="G90" s="7">
        <v>1</v>
      </c>
      <c r="H90" s="8">
        <v>5.61</v>
      </c>
      <c r="I90" s="8">
        <v>14.02</v>
      </c>
      <c r="J90" s="9">
        <v>14.25</v>
      </c>
      <c r="K90" s="11">
        <f t="shared" si="10"/>
        <v>14.25</v>
      </c>
      <c r="L90" s="142">
        <f>I90*10000*19000/100000000</f>
        <v>26.638000000000002</v>
      </c>
      <c r="M90" s="143">
        <f t="shared" ref="M90:M99" si="14">(L90-J90-(I90*4000/10000)-J90*0.08)</f>
        <v>5.6400000000000023</v>
      </c>
      <c r="N90" s="144">
        <f t="shared" ref="N90:N99" si="15">M90/L90</f>
        <v>0.21172760717771613</v>
      </c>
      <c r="O90" s="66" t="s">
        <v>673</v>
      </c>
      <c r="P90" s="68" t="s">
        <v>674</v>
      </c>
    </row>
    <row r="91" spans="1:16" s="25" customFormat="1" x14ac:dyDescent="0.2">
      <c r="A91" s="23" t="s">
        <v>98</v>
      </c>
      <c r="B91" s="23" t="s">
        <v>99</v>
      </c>
      <c r="C91" s="23" t="s">
        <v>598</v>
      </c>
      <c r="D91" s="20">
        <f t="shared" si="11"/>
        <v>3428.2126412724988</v>
      </c>
      <c r="E91" s="24">
        <v>44145</v>
      </c>
      <c r="F91" s="23">
        <v>10</v>
      </c>
      <c r="G91" s="7">
        <v>0.20399999999999999</v>
      </c>
      <c r="H91" s="8">
        <v>6.5</v>
      </c>
      <c r="I91" s="8">
        <v>23.89</v>
      </c>
      <c r="J91" s="9">
        <v>8.19</v>
      </c>
      <c r="K91" s="11">
        <f t="shared" si="10"/>
        <v>1.6707599999999998</v>
      </c>
      <c r="L91" s="142">
        <f>I91*10000*11000/100000000</f>
        <v>26.279</v>
      </c>
      <c r="M91" s="143">
        <f t="shared" si="14"/>
        <v>7.8777999999999997</v>
      </c>
      <c r="N91" s="144">
        <f t="shared" si="15"/>
        <v>0.29977548612960919</v>
      </c>
      <c r="O91" s="86" t="s">
        <v>807</v>
      </c>
      <c r="P91" s="17"/>
    </row>
    <row r="92" spans="1:16" s="25" customFormat="1" x14ac:dyDescent="0.2">
      <c r="A92" s="311" t="s">
        <v>389</v>
      </c>
      <c r="B92" s="313" t="s">
        <v>570</v>
      </c>
      <c r="C92" s="311" t="s">
        <v>799</v>
      </c>
      <c r="D92" s="307">
        <f t="shared" si="11"/>
        <v>3069.9088145896658</v>
      </c>
      <c r="E92" s="24">
        <v>44166</v>
      </c>
      <c r="F92" s="311">
        <v>1</v>
      </c>
      <c r="G92" s="315">
        <v>0.34</v>
      </c>
      <c r="H92" s="311">
        <v>3.95</v>
      </c>
      <c r="I92" s="311">
        <v>9.8699999999999992</v>
      </c>
      <c r="J92" s="311">
        <v>3.03</v>
      </c>
      <c r="K92" s="11">
        <f t="shared" si="10"/>
        <v>1.0302</v>
      </c>
      <c r="L92" s="142">
        <f>I92*10000*10000/100000000</f>
        <v>9.8699999999999992</v>
      </c>
      <c r="M92" s="143">
        <f t="shared" si="14"/>
        <v>2.6496</v>
      </c>
      <c r="N92" s="144">
        <f t="shared" si="15"/>
        <v>0.26844984802431615</v>
      </c>
      <c r="O92" s="139" t="s">
        <v>800</v>
      </c>
      <c r="P92" s="309"/>
    </row>
    <row r="93" spans="1:16" s="25" customFormat="1" x14ac:dyDescent="0.2">
      <c r="A93" s="311" t="s">
        <v>389</v>
      </c>
      <c r="B93" s="313" t="s">
        <v>570</v>
      </c>
      <c r="C93" s="311" t="s">
        <v>798</v>
      </c>
      <c r="D93" s="20">
        <f t="shared" si="11"/>
        <v>4717.2182656053619</v>
      </c>
      <c r="E93" s="24">
        <v>44167</v>
      </c>
      <c r="F93" s="311">
        <v>2</v>
      </c>
      <c r="G93" s="315">
        <v>0.6</v>
      </c>
      <c r="H93" s="311">
        <v>7.96</v>
      </c>
      <c r="I93" s="311">
        <v>23.87</v>
      </c>
      <c r="J93" s="311">
        <v>11.26</v>
      </c>
      <c r="K93" s="71">
        <f t="shared" si="10"/>
        <v>6.7559999999999993</v>
      </c>
      <c r="L93" s="142">
        <f>I93*10000*10000/100000000</f>
        <v>23.87</v>
      </c>
      <c r="M93" s="143">
        <f t="shared" si="14"/>
        <v>2.1612000000000009</v>
      </c>
      <c r="N93" s="144">
        <f t="shared" si="15"/>
        <v>9.0540427314620892E-2</v>
      </c>
      <c r="O93" s="66" t="s">
        <v>801</v>
      </c>
      <c r="P93" s="17"/>
    </row>
    <row r="94" spans="1:16" s="283" customFormat="1" x14ac:dyDescent="0.2">
      <c r="A94" s="327" t="s">
        <v>350</v>
      </c>
      <c r="B94" s="330" t="s">
        <v>571</v>
      </c>
      <c r="C94" s="331" t="s">
        <v>796</v>
      </c>
      <c r="D94" s="276">
        <f t="shared" si="11"/>
        <v>11937.17277486911</v>
      </c>
      <c r="E94" s="277">
        <v>44168</v>
      </c>
      <c r="F94" s="311">
        <v>3</v>
      </c>
      <c r="G94" s="336">
        <v>0.4</v>
      </c>
      <c r="H94" s="331">
        <v>4.24</v>
      </c>
      <c r="I94" s="331">
        <v>7.64</v>
      </c>
      <c r="J94" s="331">
        <v>9.1199999999999992</v>
      </c>
      <c r="K94" s="241">
        <f t="shared" si="10"/>
        <v>3.6479999999999997</v>
      </c>
      <c r="L94" s="279">
        <f>I94*10000*20000/100000000</f>
        <v>15.28</v>
      </c>
      <c r="M94" s="280">
        <f t="shared" si="14"/>
        <v>2.3744000000000001</v>
      </c>
      <c r="N94" s="281">
        <f t="shared" si="15"/>
        <v>0.15539267015706806</v>
      </c>
      <c r="O94" s="248" t="s">
        <v>1728</v>
      </c>
      <c r="P94" s="282" t="s">
        <v>1729</v>
      </c>
    </row>
    <row r="95" spans="1:16" s="25" customFormat="1" ht="27.75" x14ac:dyDescent="0.2">
      <c r="A95" s="311" t="s">
        <v>572</v>
      </c>
      <c r="B95" s="313" t="s">
        <v>573</v>
      </c>
      <c r="C95" s="311" t="s">
        <v>688</v>
      </c>
      <c r="D95" s="20">
        <f t="shared" si="11"/>
        <v>7419.8473282442756</v>
      </c>
      <c r="E95" s="24">
        <v>44169</v>
      </c>
      <c r="F95" s="311">
        <v>4</v>
      </c>
      <c r="G95" s="315">
        <v>0.51</v>
      </c>
      <c r="H95" s="311">
        <v>7.28</v>
      </c>
      <c r="I95" s="311">
        <v>13.1</v>
      </c>
      <c r="J95" s="311">
        <v>9.7200000000000006</v>
      </c>
      <c r="K95" s="71">
        <f t="shared" si="10"/>
        <v>4.9572000000000003</v>
      </c>
      <c r="L95" s="142">
        <f>I95*10000*12000/100000000</f>
        <v>15.72</v>
      </c>
      <c r="M95" s="143">
        <f t="shared" si="14"/>
        <v>-1.7600000000000282E-2</v>
      </c>
      <c r="N95" s="144">
        <f t="shared" si="15"/>
        <v>-1.1195928753180841E-3</v>
      </c>
      <c r="O95" s="86" t="s">
        <v>689</v>
      </c>
      <c r="P95" s="17"/>
    </row>
    <row r="96" spans="1:16" s="25" customFormat="1" x14ac:dyDescent="0.2">
      <c r="A96" s="311" t="s">
        <v>574</v>
      </c>
      <c r="B96" s="313" t="s">
        <v>575</v>
      </c>
      <c r="C96" s="311" t="s">
        <v>704</v>
      </c>
      <c r="D96" s="20">
        <f t="shared" si="11"/>
        <v>5494.6727549467269</v>
      </c>
      <c r="E96" s="174">
        <v>44170</v>
      </c>
      <c r="F96" s="311">
        <v>5</v>
      </c>
      <c r="G96" s="315">
        <v>0.5</v>
      </c>
      <c r="H96" s="311">
        <v>3.65</v>
      </c>
      <c r="I96" s="311">
        <v>6.57</v>
      </c>
      <c r="J96" s="311">
        <v>3.61</v>
      </c>
      <c r="K96" s="71">
        <f t="shared" si="10"/>
        <v>1.8049999999999999</v>
      </c>
      <c r="L96" s="142">
        <f>I96*10000*11000/100000000</f>
        <v>7.2270000000000003</v>
      </c>
      <c r="M96" s="143">
        <f t="shared" si="14"/>
        <v>0.70020000000000038</v>
      </c>
      <c r="N96" s="144">
        <f t="shared" si="15"/>
        <v>9.6886674968866798E-2</v>
      </c>
      <c r="O96" s="66" t="s">
        <v>705</v>
      </c>
      <c r="P96" s="17"/>
    </row>
    <row r="97" spans="1:16" s="25" customFormat="1" x14ac:dyDescent="0.2">
      <c r="A97" s="311" t="s">
        <v>381</v>
      </c>
      <c r="B97" s="313" t="s">
        <v>576</v>
      </c>
      <c r="C97" s="311" t="s">
        <v>661</v>
      </c>
      <c r="D97" s="20">
        <f t="shared" si="11"/>
        <v>4386.503067484663</v>
      </c>
      <c r="E97" s="24">
        <v>44171</v>
      </c>
      <c r="F97" s="311">
        <v>6</v>
      </c>
      <c r="G97" s="315">
        <v>1</v>
      </c>
      <c r="H97" s="311">
        <v>3.91</v>
      </c>
      <c r="I97" s="311">
        <v>9.7799999999999994</v>
      </c>
      <c r="J97" s="311">
        <v>4.29</v>
      </c>
      <c r="K97" s="71">
        <f t="shared" si="10"/>
        <v>4.29</v>
      </c>
      <c r="L97" s="142">
        <f>I97*10000*15500/100000000</f>
        <v>15.159000000000001</v>
      </c>
      <c r="M97" s="143">
        <f t="shared" si="14"/>
        <v>6.6137999999999995</v>
      </c>
      <c r="N97" s="144">
        <f t="shared" si="15"/>
        <v>0.4362952701365525</v>
      </c>
      <c r="O97" s="86" t="s">
        <v>662</v>
      </c>
      <c r="P97" s="68" t="s">
        <v>665</v>
      </c>
    </row>
    <row r="98" spans="1:16" s="25" customFormat="1" x14ac:dyDescent="0.2">
      <c r="A98" s="154" t="s">
        <v>577</v>
      </c>
      <c r="B98" s="54" t="s">
        <v>648</v>
      </c>
      <c r="C98" s="154" t="s">
        <v>647</v>
      </c>
      <c r="D98" s="20">
        <f t="shared" si="11"/>
        <v>305.5020020762272</v>
      </c>
      <c r="E98" s="174">
        <v>44172</v>
      </c>
      <c r="F98" s="154">
        <v>7</v>
      </c>
      <c r="G98" s="175">
        <v>0.3</v>
      </c>
      <c r="H98" s="154">
        <v>44.14</v>
      </c>
      <c r="I98" s="154">
        <v>67.430000000000007</v>
      </c>
      <c r="J98" s="154">
        <v>2.06</v>
      </c>
      <c r="K98" s="71">
        <f t="shared" ref="K98:K108" si="16">J98*G98</f>
        <v>0.61799999999999999</v>
      </c>
      <c r="L98" s="142">
        <f>I98*10000*6200/100000000</f>
        <v>41.80660000000001</v>
      </c>
      <c r="M98" s="143">
        <f t="shared" si="14"/>
        <v>12.609800000000007</v>
      </c>
      <c r="N98" s="144">
        <f t="shared" si="15"/>
        <v>0.30162223189639925</v>
      </c>
      <c r="O98" s="66" t="s">
        <v>650</v>
      </c>
      <c r="P98" s="17"/>
    </row>
    <row r="99" spans="1:16" s="78" customFormat="1" x14ac:dyDescent="0.2">
      <c r="A99" s="326" t="s">
        <v>396</v>
      </c>
      <c r="B99" s="329" t="s">
        <v>578</v>
      </c>
      <c r="C99" s="326" t="s">
        <v>592</v>
      </c>
      <c r="D99" s="332">
        <f t="shared" si="11"/>
        <v>6177.4891774891776</v>
      </c>
      <c r="E99" s="308">
        <v>44173</v>
      </c>
      <c r="F99" s="326">
        <v>8</v>
      </c>
      <c r="G99" s="335">
        <v>0.6</v>
      </c>
      <c r="H99" s="326">
        <v>6.49</v>
      </c>
      <c r="I99" s="326">
        <v>23.1</v>
      </c>
      <c r="J99" s="326">
        <v>14.27</v>
      </c>
      <c r="K99" s="96">
        <f t="shared" si="16"/>
        <v>8.5619999999999994</v>
      </c>
      <c r="L99" s="142">
        <f>I99*10000*14000/100000000</f>
        <v>32.340000000000003</v>
      </c>
      <c r="M99" s="143">
        <f t="shared" si="14"/>
        <v>7.6884000000000032</v>
      </c>
      <c r="N99" s="144">
        <f t="shared" si="15"/>
        <v>0.23773654916512066</v>
      </c>
      <c r="O99" s="337" t="s">
        <v>802</v>
      </c>
      <c r="P99" s="339"/>
    </row>
    <row r="100" spans="1:16" s="25" customFormat="1" x14ac:dyDescent="0.2">
      <c r="A100" s="154" t="s">
        <v>396</v>
      </c>
      <c r="B100" s="54" t="s">
        <v>579</v>
      </c>
      <c r="C100" s="154" t="s">
        <v>594</v>
      </c>
      <c r="D100" s="20">
        <f t="shared" si="11"/>
        <v>6250</v>
      </c>
      <c r="E100" s="174">
        <v>44174</v>
      </c>
      <c r="F100" s="154">
        <v>9</v>
      </c>
      <c r="G100" s="175">
        <v>0.51</v>
      </c>
      <c r="H100" s="154">
        <v>0.06</v>
      </c>
      <c r="I100" s="154">
        <v>0.24</v>
      </c>
      <c r="J100" s="154">
        <v>0.15</v>
      </c>
      <c r="K100" s="71">
        <f t="shared" si="16"/>
        <v>7.6499999999999999E-2</v>
      </c>
      <c r="L100" s="142"/>
      <c r="M100" s="143"/>
      <c r="N100" s="144"/>
      <c r="O100" s="86" t="s">
        <v>808</v>
      </c>
      <c r="P100" s="17"/>
    </row>
    <row r="101" spans="1:16" s="25" customFormat="1" x14ac:dyDescent="0.2">
      <c r="A101" s="154" t="s">
        <v>812</v>
      </c>
      <c r="B101" s="54" t="s">
        <v>810</v>
      </c>
      <c r="C101" s="154" t="s">
        <v>809</v>
      </c>
      <c r="D101" s="20">
        <f t="shared" si="11"/>
        <v>513.59516616314204</v>
      </c>
      <c r="E101" s="174">
        <v>44175</v>
      </c>
      <c r="F101" s="154">
        <v>10</v>
      </c>
      <c r="G101" s="175">
        <v>0.7</v>
      </c>
      <c r="H101" s="154">
        <v>6.02</v>
      </c>
      <c r="I101" s="154">
        <v>3.31</v>
      </c>
      <c r="J101" s="154">
        <v>0.17</v>
      </c>
      <c r="K101" s="71">
        <f t="shared" si="16"/>
        <v>0.11899999999999999</v>
      </c>
      <c r="L101" s="142"/>
      <c r="M101" s="143"/>
      <c r="N101" s="144"/>
      <c r="O101" s="13"/>
      <c r="P101" s="17"/>
    </row>
    <row r="102" spans="1:16" s="25" customFormat="1" x14ac:dyDescent="0.2">
      <c r="A102" s="154" t="s">
        <v>580</v>
      </c>
      <c r="B102" s="54" t="s">
        <v>581</v>
      </c>
      <c r="C102" s="154" t="s">
        <v>811</v>
      </c>
      <c r="D102" s="20">
        <f t="shared" si="11"/>
        <v>608.69565217391312</v>
      </c>
      <c r="E102" s="174">
        <v>44176</v>
      </c>
      <c r="F102" s="154">
        <v>11</v>
      </c>
      <c r="G102" s="175">
        <v>0.7</v>
      </c>
      <c r="H102" s="154">
        <v>4.5999999999999996</v>
      </c>
      <c r="I102" s="154">
        <v>4.5999999999999996</v>
      </c>
      <c r="J102" s="154">
        <v>0.28000000000000003</v>
      </c>
      <c r="K102" s="71">
        <f t="shared" si="16"/>
        <v>0.19600000000000001</v>
      </c>
      <c r="L102" s="142"/>
      <c r="M102" s="143"/>
      <c r="N102" s="144"/>
      <c r="O102" s="13"/>
      <c r="P102" s="17"/>
    </row>
    <row r="103" spans="1:16" s="25" customFormat="1" x14ac:dyDescent="0.2">
      <c r="A103" s="311" t="s">
        <v>591</v>
      </c>
      <c r="B103" s="313" t="s">
        <v>582</v>
      </c>
      <c r="C103" s="311" t="s">
        <v>637</v>
      </c>
      <c r="D103" s="20">
        <f t="shared" si="11"/>
        <v>900.79365079365084</v>
      </c>
      <c r="E103" s="174">
        <v>44177</v>
      </c>
      <c r="F103" s="311">
        <v>12</v>
      </c>
      <c r="G103" s="315">
        <v>0.25</v>
      </c>
      <c r="H103" s="311">
        <v>12.6</v>
      </c>
      <c r="I103" s="311">
        <v>25.2</v>
      </c>
      <c r="J103" s="311">
        <v>2.27</v>
      </c>
      <c r="K103" s="71">
        <f t="shared" si="16"/>
        <v>0.5675</v>
      </c>
      <c r="L103" s="142"/>
      <c r="M103" s="143"/>
      <c r="N103" s="144"/>
      <c r="O103" s="13"/>
      <c r="P103" s="17"/>
    </row>
    <row r="104" spans="1:16" s="25" customFormat="1" x14ac:dyDescent="0.2">
      <c r="A104" s="311" t="s">
        <v>416</v>
      </c>
      <c r="B104" s="313" t="s">
        <v>583</v>
      </c>
      <c r="C104" s="311" t="s">
        <v>629</v>
      </c>
      <c r="D104" s="20">
        <f t="shared" si="11"/>
        <v>4091.279543602282</v>
      </c>
      <c r="E104" s="24">
        <v>44178</v>
      </c>
      <c r="F104" s="311">
        <v>13</v>
      </c>
      <c r="G104" s="315">
        <v>0.75</v>
      </c>
      <c r="H104" s="311">
        <v>4.91</v>
      </c>
      <c r="I104" s="311">
        <v>12.27</v>
      </c>
      <c r="J104" s="311">
        <v>5.0199999999999996</v>
      </c>
      <c r="K104" s="71">
        <f t="shared" si="16"/>
        <v>3.7649999999999997</v>
      </c>
      <c r="L104" s="142">
        <f>I104*10000*11500/100000000</f>
        <v>14.1105</v>
      </c>
      <c r="M104" s="143">
        <f>(L104-J104-(I104*4000/10000)-J104*0.08)</f>
        <v>3.7808999999999999</v>
      </c>
      <c r="N104" s="144">
        <f>M104/L104</f>
        <v>0.26794939938343787</v>
      </c>
      <c r="O104" s="86" t="s">
        <v>1933</v>
      </c>
      <c r="P104" s="17"/>
    </row>
    <row r="105" spans="1:16" s="25" customFormat="1" ht="28.5" x14ac:dyDescent="0.2">
      <c r="A105" s="311" t="s">
        <v>584</v>
      </c>
      <c r="B105" s="313" t="s">
        <v>604</v>
      </c>
      <c r="C105" s="311" t="s">
        <v>603</v>
      </c>
      <c r="D105" s="20">
        <f t="shared" si="11"/>
        <v>5997.5816203143895</v>
      </c>
      <c r="E105" s="24">
        <v>44179</v>
      </c>
      <c r="F105" s="311">
        <v>14</v>
      </c>
      <c r="G105" s="315">
        <v>0.75</v>
      </c>
      <c r="H105" s="311">
        <v>3.31</v>
      </c>
      <c r="I105" s="311">
        <v>8.27</v>
      </c>
      <c r="J105" s="311">
        <v>4.96</v>
      </c>
      <c r="K105" s="71">
        <f t="shared" si="16"/>
        <v>3.7199999999999998</v>
      </c>
      <c r="L105" s="142">
        <f>I105*10000*16000/100000000</f>
        <v>13.231999999999999</v>
      </c>
      <c r="M105" s="143">
        <f>(L105-J105-(I105*4000/10000)-J105*0.08)</f>
        <v>4.5671999999999988</v>
      </c>
      <c r="N105" s="144">
        <f>M105/L105</f>
        <v>0.34516324062877862</v>
      </c>
      <c r="O105" s="86" t="s">
        <v>631</v>
      </c>
      <c r="P105" s="17"/>
    </row>
    <row r="106" spans="1:16" s="25" customFormat="1" x14ac:dyDescent="0.2">
      <c r="A106" s="311" t="s">
        <v>585</v>
      </c>
      <c r="B106" s="313" t="s">
        <v>586</v>
      </c>
      <c r="C106" s="311" t="s">
        <v>622</v>
      </c>
      <c r="D106" s="20">
        <f t="shared" si="11"/>
        <v>6026.2008733624452</v>
      </c>
      <c r="E106" s="24">
        <v>44180</v>
      </c>
      <c r="F106" s="311">
        <v>15</v>
      </c>
      <c r="G106" s="315">
        <v>1</v>
      </c>
      <c r="H106" s="311">
        <v>2.08</v>
      </c>
      <c r="I106" s="311">
        <v>6.87</v>
      </c>
      <c r="J106" s="311">
        <v>4.1399999999999997</v>
      </c>
      <c r="K106" s="71">
        <f t="shared" si="16"/>
        <v>4.1399999999999997</v>
      </c>
      <c r="L106" s="142">
        <f>I106*10000*12000/100000000</f>
        <v>8.2439999999999998</v>
      </c>
      <c r="M106" s="143">
        <f>(L106-J106-(I106*4000/10000)-J106*0.08)</f>
        <v>1.0247999999999999</v>
      </c>
      <c r="N106" s="144">
        <f>M106/L106</f>
        <v>0.12430858806404657</v>
      </c>
      <c r="O106" s="66" t="s">
        <v>803</v>
      </c>
      <c r="P106" s="17"/>
    </row>
    <row r="107" spans="1:16" s="25" customFormat="1" x14ac:dyDescent="0.2">
      <c r="A107" s="326" t="s">
        <v>587</v>
      </c>
      <c r="B107" s="329" t="s">
        <v>588</v>
      </c>
      <c r="C107" s="326" t="s">
        <v>599</v>
      </c>
      <c r="D107" s="73">
        <f t="shared" si="11"/>
        <v>5027.4314214463848</v>
      </c>
      <c r="E107" s="308">
        <v>44181</v>
      </c>
      <c r="F107" s="326">
        <v>16</v>
      </c>
      <c r="G107" s="335">
        <v>0.51</v>
      </c>
      <c r="H107" s="326">
        <v>5.01</v>
      </c>
      <c r="I107" s="326">
        <v>20.05</v>
      </c>
      <c r="J107" s="326">
        <v>10.08</v>
      </c>
      <c r="K107" s="77">
        <f t="shared" si="16"/>
        <v>5.1408000000000005</v>
      </c>
      <c r="L107" s="142"/>
      <c r="M107" s="143"/>
      <c r="N107" s="144"/>
      <c r="O107" s="66" t="s">
        <v>602</v>
      </c>
      <c r="P107" s="17"/>
    </row>
    <row r="108" spans="1:16" s="25" customFormat="1" x14ac:dyDescent="0.2">
      <c r="A108" s="311" t="s">
        <v>587</v>
      </c>
      <c r="B108" s="313" t="s">
        <v>588</v>
      </c>
      <c r="C108" s="311" t="s">
        <v>600</v>
      </c>
      <c r="D108" s="20">
        <f t="shared" si="11"/>
        <v>1448.6486486486488</v>
      </c>
      <c r="E108" s="174">
        <v>44182</v>
      </c>
      <c r="F108" s="311">
        <v>17</v>
      </c>
      <c r="G108" s="315">
        <v>0.7</v>
      </c>
      <c r="H108" s="311">
        <v>7.97</v>
      </c>
      <c r="I108" s="311">
        <v>18.5</v>
      </c>
      <c r="J108" s="311">
        <v>2.68</v>
      </c>
      <c r="K108" s="71">
        <f t="shared" si="16"/>
        <v>1.8759999999999999</v>
      </c>
      <c r="L108" s="142"/>
      <c r="M108" s="143"/>
      <c r="N108" s="144"/>
      <c r="O108" s="66" t="s">
        <v>601</v>
      </c>
      <c r="P108" s="17"/>
    </row>
    <row r="109" spans="1:16" s="265" customFormat="1" x14ac:dyDescent="0.2">
      <c r="A109" s="285"/>
      <c r="B109" s="286"/>
      <c r="C109" s="286"/>
      <c r="D109" s="287"/>
      <c r="E109" s="288"/>
      <c r="F109" s="25"/>
      <c r="G109" s="285"/>
      <c r="M109" s="296"/>
      <c r="N109" s="297"/>
      <c r="O109" s="31"/>
      <c r="P109" s="284"/>
    </row>
    <row r="110" spans="1:16" s="298" customFormat="1" ht="15" x14ac:dyDescent="0.25">
      <c r="A110" s="289"/>
      <c r="B110" s="290"/>
      <c r="C110" s="290"/>
      <c r="D110" s="291"/>
      <c r="E110" s="292"/>
      <c r="F110" s="104"/>
      <c r="G110" s="289"/>
      <c r="I110" s="299">
        <f>SUM(I2:I108)</f>
        <v>1702.3799999999999</v>
      </c>
      <c r="J110" s="299">
        <f>SUM(J2:J108)</f>
        <v>766.3399999999998</v>
      </c>
      <c r="K110" s="299">
        <f>SUM(K2:K108)</f>
        <v>443.43293499999999</v>
      </c>
      <c r="L110" s="300">
        <f>SUM(L2:L108)</f>
        <v>1987.4216039999994</v>
      </c>
      <c r="M110" s="300">
        <f>SUM(M2:M108)</f>
        <v>607.14460399999973</v>
      </c>
      <c r="N110" s="301">
        <f>M110/L110</f>
        <v>0.3054936118124234</v>
      </c>
      <c r="O110" s="302"/>
      <c r="P110" s="303"/>
    </row>
    <row r="111" spans="1:16" x14ac:dyDescent="0.2">
      <c r="I111" s="268">
        <f>J110/I110*10000</f>
        <v>4501.580140744134</v>
      </c>
      <c r="K111" s="305">
        <f>K110/J110</f>
        <v>0.5786373346034398</v>
      </c>
    </row>
    <row r="113" spans="9:13" x14ac:dyDescent="0.2">
      <c r="L113" s="306"/>
    </row>
    <row r="115" spans="9:13" x14ac:dyDescent="0.2">
      <c r="I115" s="306">
        <f>SUM(I2:I47)</f>
        <v>809.7800000000002</v>
      </c>
      <c r="J115" s="306">
        <f>SUM(J2:J47)</f>
        <v>311.76999999999987</v>
      </c>
      <c r="K115" s="306">
        <f>SUM(K2:K47)</f>
        <v>194.15630000000002</v>
      </c>
      <c r="L115" s="306">
        <f>SUM(L2:L47)</f>
        <v>933.01570399999969</v>
      </c>
      <c r="M115" s="306">
        <f>SUM(M2:M47)</f>
        <v>309.016704</v>
      </c>
    </row>
    <row r="116" spans="9:13" x14ac:dyDescent="0.2">
      <c r="J116" s="268">
        <f>J115/I115*10000</f>
        <v>3850.0580404554298</v>
      </c>
      <c r="L116" s="268">
        <f>L115/I115*10000</f>
        <v>11521.841784188291</v>
      </c>
    </row>
  </sheetData>
  <autoFilter ref="A1:P108" xr:uid="{8A73790E-7EAD-4E13-860A-EEEFD17ECBC6}">
    <sortState xmlns:xlrd2="http://schemas.microsoft.com/office/spreadsheetml/2017/richdata2" ref="A2:P108">
      <sortCondition ref="E1:E108"/>
    </sortState>
  </autoFilter>
  <phoneticPr fontId="5" type="noConversion"/>
  <hyperlinks>
    <hyperlink ref="P42" r:id="rId1" xr:uid="{BE674D6D-4A51-4FA7-AD71-5EF3A3752B1C}"/>
    <hyperlink ref="P44" r:id="rId2" xr:uid="{244633BA-89FC-48AD-8844-E86232EB0FA5}"/>
    <hyperlink ref="P5" r:id="rId3" xr:uid="{5BBCD5FF-FD9A-48BF-9520-F97630C81011}"/>
    <hyperlink ref="P14" r:id="rId4" xr:uid="{3B51D4BA-CE88-4A95-BEAF-A08F25FDE4E4}"/>
    <hyperlink ref="P19" r:id="rId5" xr:uid="{9BFBCA7D-63A9-41B8-A4BD-523FA416E429}"/>
    <hyperlink ref="P39" r:id="rId6" xr:uid="{D84D6ED1-1476-42EF-AE5C-BFF9E76FA004}"/>
    <hyperlink ref="P25" r:id="rId7" xr:uid="{9275940D-9EB4-474A-A54B-05F7C02727AE}"/>
    <hyperlink ref="P45" r:id="rId8" xr:uid="{1FD2A283-22B4-433F-871F-75DD4B9DC19C}"/>
    <hyperlink ref="P46" r:id="rId9" xr:uid="{6919A9DB-C29E-4B0F-82C2-466023006103}"/>
    <hyperlink ref="P59" r:id="rId10" xr:uid="{DF2952B5-CCF2-4EE1-A9EA-79B29A4B58D5}"/>
    <hyperlink ref="P60" r:id="rId11" xr:uid="{7A8B81FA-FCC0-4552-B23D-8EADD51F702D}"/>
    <hyperlink ref="P33" r:id="rId12" xr:uid="{142F4B61-BC16-4393-8365-1A2EEB8C246F}"/>
    <hyperlink ref="P22" r:id="rId13" xr:uid="{EF307F4F-BBEE-48C1-961E-9C00A252B566}"/>
    <hyperlink ref="P34" r:id="rId14" xr:uid="{A0F46B2E-01DF-4A24-925E-5F0B54C4DECC}"/>
    <hyperlink ref="P47" r:id="rId15" xr:uid="{801647F2-200E-4634-AC53-5B8BD5D29F99}"/>
    <hyperlink ref="P23" r:id="rId16" xr:uid="{A7B99347-E655-414A-9541-82737B484399}"/>
    <hyperlink ref="P77" r:id="rId17" xr:uid="{04DAFC1D-E7DE-4743-A2A6-9D203533AFB3}"/>
    <hyperlink ref="P97" r:id="rId18" xr:uid="{4C6A8143-A32D-4AF1-ABCD-D6128BE42CCA}"/>
    <hyperlink ref="P57" r:id="rId19" xr:uid="{F9B4460B-E4BA-4127-B768-045EAAD03523}"/>
    <hyperlink ref="P26" r:id="rId20" xr:uid="{8B089206-DECF-4F47-8511-711F3645C6FD}"/>
    <hyperlink ref="P40" r:id="rId21" xr:uid="{306D8AB3-A73F-40E5-98C8-FE2E5FB4F428}"/>
    <hyperlink ref="P90" r:id="rId22" xr:uid="{6108130F-F9EF-4907-BC5F-BE1CDC3172B2}"/>
    <hyperlink ref="P7" r:id="rId23" xr:uid="{E03F4619-5A25-44DB-A8C5-F0D4CCA5709A}"/>
    <hyperlink ref="P6" r:id="rId24" xr:uid="{1BD5179F-19AE-40EC-840C-39077C8BE1B1}"/>
    <hyperlink ref="P54" r:id="rId25" xr:uid="{29CE581E-B30D-43A1-BDA9-18A73F9305A7}"/>
    <hyperlink ref="P68" r:id="rId26" xr:uid="{B82A63B5-E3FA-427D-BB6C-9069944843B9}"/>
    <hyperlink ref="P20" r:id="rId27" xr:uid="{F40FBE32-E233-4DF4-AFA0-DB950567A5E9}"/>
    <hyperlink ref="P21" r:id="rId28" xr:uid="{20CE7672-768E-4762-8935-E004D3093D17}"/>
    <hyperlink ref="P16" r:id="rId29" xr:uid="{A2CB5EC7-3C05-4834-A190-01EFE11A1DC5}"/>
    <hyperlink ref="P82" r:id="rId30" xr:uid="{2772FD2F-FB92-4805-B334-50509C224ED5}"/>
    <hyperlink ref="P70" r:id="rId31" xr:uid="{C38B39AA-469D-4280-8C42-8C97BBBFE1E0}"/>
    <hyperlink ref="P13" r:id="rId32" xr:uid="{F51B4A2C-A1B5-4064-B91A-1D5ED1CAF488}"/>
    <hyperlink ref="P61" r:id="rId33" xr:uid="{CD8C455A-D785-4A64-A3DA-A6B99BF6F1E9}"/>
    <hyperlink ref="P35" r:id="rId34" xr:uid="{0FB943B9-E935-4D58-B32D-8922BA200ED1}"/>
    <hyperlink ref="P2" r:id="rId35" xr:uid="{EB9F0293-E552-48AD-856C-67E561783B21}"/>
    <hyperlink ref="P64" r:id="rId36" xr:uid="{15F5F8F5-A08A-4955-B360-BC491ED4E577}"/>
    <hyperlink ref="P85" r:id="rId37" xr:uid="{6B189CE7-65F3-4C0F-A884-4CBD6F9659FE}"/>
    <hyperlink ref="P53" r:id="rId38" xr:uid="{94CB1867-3C27-4F37-BB46-31D89BC51840}"/>
    <hyperlink ref="P65" r:id="rId39" xr:uid="{3FEFAE4B-8434-40F3-BFA3-E470F40ED642}"/>
    <hyperlink ref="P49" r:id="rId40" xr:uid="{2EBE6B81-F799-429A-B970-4A5BDF8AE139}"/>
    <hyperlink ref="P88" r:id="rId41" xr:uid="{63181FFD-F732-4E8A-BBBC-BDD2B2D7356B}"/>
    <hyperlink ref="P9" r:id="rId42" xr:uid="{968C279B-7737-4CDF-8C94-CDB466905A9B}"/>
    <hyperlink ref="P10" r:id="rId43" xr:uid="{900AC52A-CA8E-42BB-B85F-D17923B37469}"/>
    <hyperlink ref="P12" r:id="rId44" xr:uid="{1E4E7CA2-E75C-4484-9660-D0845E0F3F93}"/>
    <hyperlink ref="P17" r:id="rId45" xr:uid="{1DCB1D9A-5C67-4E30-B044-6110C10FB553}"/>
    <hyperlink ref="P41" r:id="rId46" xr:uid="{14078189-477F-4D0D-8744-9D9C24EA8058}"/>
    <hyperlink ref="P51" r:id="rId47" xr:uid="{C21EB6E0-E1FC-41EA-98FF-CDA7A97A8913}"/>
    <hyperlink ref="P56" r:id="rId48" xr:uid="{182B37FF-A173-48BD-AAC0-FEB1C2780621}"/>
    <hyperlink ref="P52" r:id="rId49" xr:uid="{317FEDFF-137D-4C12-A70E-7FE04FB87CEB}"/>
    <hyperlink ref="P78" r:id="rId50" xr:uid="{1004816F-D016-4B72-93E6-FF84A6383DB9}"/>
    <hyperlink ref="P18" r:id="rId51" xr:uid="{95CD0261-E833-489C-9AA5-30A964FCEF95}"/>
    <hyperlink ref="P24" r:id="rId52" location="ln=m_xf_info_xinxi" xr:uid="{DBC2A900-67CD-492C-A1F3-7B5154989576}"/>
    <hyperlink ref="P28" r:id="rId53" xr:uid="{5B107D90-E9EC-4899-8E08-915D3C89888C}"/>
    <hyperlink ref="P29" r:id="rId54" xr:uid="{21FBF7D8-4B8D-47C0-9835-52DDCF93B9DF}"/>
    <hyperlink ref="P37" r:id="rId55" xr:uid="{A2C8EC71-140B-44C6-974E-94ACED34429B}"/>
    <hyperlink ref="P63" r:id="rId56" xr:uid="{3FC9D145-44FE-4327-9474-0F29A5392970}"/>
    <hyperlink ref="P84" r:id="rId57" xr:uid="{68CC9C67-4818-47DC-8C73-283CB02A4BDE}"/>
    <hyperlink ref="P94" r:id="rId58" xr:uid="{E7E82957-C80C-441D-ADD7-49DF0F937674}"/>
    <hyperlink ref="P83" r:id="rId59" xr:uid="{D6B73EA1-9A09-4F55-BAEC-0AC21A6A9E5B}"/>
    <hyperlink ref="P4" r:id="rId60" xr:uid="{260733B4-5540-4AAC-B19E-CD3E26C4BC74}"/>
    <hyperlink ref="P3" r:id="rId61" xr:uid="{B613B9B8-9DDB-41A9-BF59-49479A0E72A0}"/>
  </hyperlinks>
  <pageMargins left="0.7" right="0.7" top="0.75" bottom="0.75" header="0.3" footer="0.3"/>
  <pageSetup paperSize="9" orientation="portrait" r:id="rId6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40A5-E443-4584-9C1A-9B20088BFBE4}">
  <dimension ref="A1:Q56"/>
  <sheetViews>
    <sheetView workbookViewId="0">
      <pane ySplit="1" topLeftCell="A30" activePane="bottomLeft" state="frozen"/>
      <selection pane="bottomLeft" activeCell="G43" sqref="G43"/>
    </sheetView>
  </sheetViews>
  <sheetFormatPr defaultRowHeight="14.25" x14ac:dyDescent="0.2"/>
  <cols>
    <col min="2" max="2" width="18.75" customWidth="1"/>
    <col min="3" max="3" width="33.5" style="90" customWidth="1"/>
    <col min="4" max="4" width="9.75" bestFit="1" customWidth="1"/>
    <col min="5" max="5" width="10" customWidth="1"/>
    <col min="6" max="6" width="7.5" customWidth="1"/>
    <col min="8" max="8" width="10.5" customWidth="1"/>
    <col min="11" max="11" width="8.75" hidden="1" customWidth="1"/>
    <col min="12" max="12" width="7.75" hidden="1" customWidth="1"/>
    <col min="13" max="13" width="7.625" hidden="1" customWidth="1"/>
    <col min="14" max="14" width="53.5" style="90" customWidth="1"/>
    <col min="15" max="15" width="20.25" customWidth="1"/>
    <col min="16" max="16" width="11.375" customWidth="1"/>
    <col min="17" max="17" width="13" customWidth="1"/>
  </cols>
  <sheetData>
    <row r="1" spans="1:17" ht="27" x14ac:dyDescent="0.2">
      <c r="A1" s="15" t="s">
        <v>19</v>
      </c>
      <c r="B1" s="15" t="s">
        <v>21</v>
      </c>
      <c r="C1" s="15" t="s">
        <v>20</v>
      </c>
      <c r="D1" s="151" t="s">
        <v>24</v>
      </c>
      <c r="E1" s="30" t="s">
        <v>17</v>
      </c>
      <c r="F1" s="152" t="s">
        <v>22</v>
      </c>
      <c r="G1" s="15" t="s">
        <v>1064</v>
      </c>
      <c r="H1" s="320" t="s">
        <v>1770</v>
      </c>
      <c r="I1" s="50" t="s">
        <v>254</v>
      </c>
      <c r="J1" s="153" t="s">
        <v>256</v>
      </c>
      <c r="K1" s="139" t="s">
        <v>839</v>
      </c>
      <c r="L1" s="140" t="s">
        <v>838</v>
      </c>
      <c r="M1" s="141" t="s">
        <v>840</v>
      </c>
      <c r="N1" s="66" t="s">
        <v>559</v>
      </c>
      <c r="O1" s="66" t="s">
        <v>560</v>
      </c>
      <c r="P1" s="66" t="s">
        <v>1099</v>
      </c>
      <c r="Q1" s="66" t="s">
        <v>1100</v>
      </c>
    </row>
    <row r="2" spans="1:17" x14ac:dyDescent="0.2">
      <c r="A2" s="154" t="s">
        <v>350</v>
      </c>
      <c r="B2" s="154" t="s">
        <v>1065</v>
      </c>
      <c r="C2" s="54" t="s">
        <v>1068</v>
      </c>
      <c r="D2" s="155">
        <f>I2/H2*10000</f>
        <v>10867.178924259058</v>
      </c>
      <c r="E2" s="176">
        <v>44197</v>
      </c>
      <c r="F2" s="175">
        <v>0.3</v>
      </c>
      <c r="G2" s="154">
        <v>4.5599999999999996</v>
      </c>
      <c r="H2" s="154">
        <v>9.11</v>
      </c>
      <c r="I2" s="154">
        <v>9.9</v>
      </c>
      <c r="J2" s="155">
        <f>I2*F2</f>
        <v>2.97</v>
      </c>
      <c r="K2" s="142">
        <f>H2*10000*20500/100000000</f>
        <v>18.6755</v>
      </c>
      <c r="L2" s="143">
        <f>(K2-I2-(H2*4500/10000)-I2*0.08)</f>
        <v>3.8839999999999995</v>
      </c>
      <c r="M2" s="144">
        <f>L2/K2</f>
        <v>0.2079730127707424</v>
      </c>
      <c r="N2" s="54" t="s">
        <v>1090</v>
      </c>
      <c r="O2" s="154"/>
      <c r="P2" s="154"/>
      <c r="Q2" s="154"/>
    </row>
    <row r="3" spans="1:17" x14ac:dyDescent="0.2">
      <c r="A3" s="154" t="s">
        <v>350</v>
      </c>
      <c r="B3" s="154" t="s">
        <v>1065</v>
      </c>
      <c r="C3" s="54" t="s">
        <v>1069</v>
      </c>
      <c r="D3" s="155">
        <f t="shared" ref="D3:D4" si="0">I3/H3*10000</f>
        <v>3176.3879128601543</v>
      </c>
      <c r="E3" s="176">
        <v>44198</v>
      </c>
      <c r="F3" s="175">
        <v>0.55000000000000004</v>
      </c>
      <c r="G3" s="154">
        <v>9.48</v>
      </c>
      <c r="H3" s="154">
        <v>14.23</v>
      </c>
      <c r="I3" s="154">
        <v>4.5199999999999996</v>
      </c>
      <c r="J3" s="155">
        <f t="shared" ref="J3:J4" si="1">I3*F3</f>
        <v>2.4859999999999998</v>
      </c>
      <c r="K3" s="142">
        <f>H3*10000*16200/100000000</f>
        <v>23.052600000000002</v>
      </c>
      <c r="L3" s="143">
        <f>(K3-I3-(H3*4500/10000)-I3*0.08)</f>
        <v>11.767500000000002</v>
      </c>
      <c r="M3" s="144">
        <f>L3/K3</f>
        <v>0.51046302803154531</v>
      </c>
      <c r="N3" s="54" t="s">
        <v>1070</v>
      </c>
      <c r="O3" s="154"/>
      <c r="P3" s="154"/>
      <c r="Q3" s="154"/>
    </row>
    <row r="4" spans="1:17" x14ac:dyDescent="0.2">
      <c r="A4" s="154" t="s">
        <v>350</v>
      </c>
      <c r="B4" s="154" t="s">
        <v>1065</v>
      </c>
      <c r="C4" s="54" t="s">
        <v>1071</v>
      </c>
      <c r="D4" s="155">
        <f t="shared" si="0"/>
        <v>625</v>
      </c>
      <c r="E4" s="176">
        <v>44199</v>
      </c>
      <c r="F4" s="175">
        <v>0.55000000000000004</v>
      </c>
      <c r="G4" s="154">
        <v>4.41</v>
      </c>
      <c r="H4" s="154">
        <v>4.96</v>
      </c>
      <c r="I4" s="154">
        <v>0.31</v>
      </c>
      <c r="J4" s="155">
        <f t="shared" si="1"/>
        <v>0.17050000000000001</v>
      </c>
      <c r="K4" s="154"/>
      <c r="L4" s="154"/>
      <c r="M4" s="154"/>
      <c r="N4" s="54" t="s">
        <v>1074</v>
      </c>
      <c r="O4" s="154"/>
      <c r="P4" s="154"/>
      <c r="Q4" s="154"/>
    </row>
    <row r="5" spans="1:17" x14ac:dyDescent="0.2">
      <c r="A5" s="154" t="s">
        <v>1066</v>
      </c>
      <c r="B5" s="154" t="s">
        <v>1067</v>
      </c>
      <c r="C5" s="54" t="s">
        <v>1072</v>
      </c>
      <c r="D5" s="155">
        <f>I5/H5*10000</f>
        <v>4192.7710843373497</v>
      </c>
      <c r="E5" s="176">
        <v>44200</v>
      </c>
      <c r="F5" s="157">
        <v>0.38250000000000001</v>
      </c>
      <c r="G5" s="154">
        <v>10.78</v>
      </c>
      <c r="H5" s="154">
        <v>24.9</v>
      </c>
      <c r="I5" s="154">
        <v>10.44</v>
      </c>
      <c r="J5" s="155">
        <f>I5*F5</f>
        <v>3.9933000000000001</v>
      </c>
      <c r="K5" s="142">
        <f>H5*10000*12000/100000000</f>
        <v>29.88</v>
      </c>
      <c r="L5" s="143">
        <f>(K5-I5-(H5*4000/10000)-I5*0.08)</f>
        <v>8.6447999999999965</v>
      </c>
      <c r="M5" s="144">
        <f>L5/K5</f>
        <v>0.28931726907630512</v>
      </c>
      <c r="N5" s="54" t="s">
        <v>1073</v>
      </c>
      <c r="O5" s="154"/>
      <c r="P5" s="154"/>
      <c r="Q5" s="154"/>
    </row>
    <row r="6" spans="1:17" x14ac:dyDescent="0.2">
      <c r="A6" s="154" t="s">
        <v>383</v>
      </c>
      <c r="B6" s="154" t="s">
        <v>1095</v>
      </c>
      <c r="C6" s="54" t="s">
        <v>1098</v>
      </c>
      <c r="D6" s="155">
        <f t="shared" ref="D6:D7" si="2">I6/H6*10000</f>
        <v>1976.8477292965272</v>
      </c>
      <c r="E6" s="176">
        <v>44228</v>
      </c>
      <c r="F6" s="175">
        <v>1</v>
      </c>
      <c r="G6" s="154">
        <v>3.87</v>
      </c>
      <c r="H6" s="154">
        <v>11.23</v>
      </c>
      <c r="I6" s="154">
        <v>2.2200000000000002</v>
      </c>
      <c r="J6" s="155">
        <f>I6*F6</f>
        <v>2.2200000000000002</v>
      </c>
      <c r="K6" s="142">
        <f>H6*10000*7700/100000000</f>
        <v>8.6471</v>
      </c>
      <c r="L6" s="143">
        <f>(K6-I6-(H6*3500/10000)-I6*0.08)</f>
        <v>2.3189999999999995</v>
      </c>
      <c r="M6" s="144">
        <f>L6/K6</f>
        <v>0.26818239641035718</v>
      </c>
      <c r="N6" s="54" t="s">
        <v>1101</v>
      </c>
      <c r="O6" s="154"/>
      <c r="P6" s="154">
        <v>119.114163</v>
      </c>
      <c r="Q6" s="154">
        <v>36.746462000000001</v>
      </c>
    </row>
    <row r="7" spans="1:17" s="154" customFormat="1" ht="28.5" x14ac:dyDescent="0.2">
      <c r="A7" s="154" t="s">
        <v>1096</v>
      </c>
      <c r="B7" s="154" t="s">
        <v>1097</v>
      </c>
      <c r="C7" s="54" t="s">
        <v>1102</v>
      </c>
      <c r="D7" s="155">
        <f t="shared" si="2"/>
        <v>18778.5501489573</v>
      </c>
      <c r="E7" s="176">
        <v>44228</v>
      </c>
      <c r="F7" s="175">
        <v>0.7</v>
      </c>
      <c r="G7" s="154">
        <v>1.1299999999999999</v>
      </c>
      <c r="H7" s="154">
        <v>10.07</v>
      </c>
      <c r="I7" s="154">
        <v>18.91</v>
      </c>
      <c r="J7" s="155">
        <f>I7*F7</f>
        <v>13.237</v>
      </c>
      <c r="K7" s="142">
        <f>H7*10000*63000/100000000</f>
        <v>63.441000000000003</v>
      </c>
      <c r="L7" s="143">
        <f>(K7-I7-(H7*5000/10000)-I7*0.08)</f>
        <v>37.983200000000011</v>
      </c>
      <c r="M7" s="144">
        <f t="shared" ref="M7" si="3">L7/K7</f>
        <v>0.59871691808136707</v>
      </c>
      <c r="N7" s="54" t="s">
        <v>1103</v>
      </c>
      <c r="P7" s="154">
        <v>113.906955</v>
      </c>
      <c r="Q7" s="154">
        <v>22.57741</v>
      </c>
    </row>
    <row r="8" spans="1:17" s="177" customFormat="1" x14ac:dyDescent="0.2">
      <c r="A8" s="321" t="s">
        <v>363</v>
      </c>
      <c r="B8" s="321" t="s">
        <v>1106</v>
      </c>
      <c r="C8" s="324" t="s">
        <v>1114</v>
      </c>
      <c r="D8" s="322">
        <f>I8/H8*10000</f>
        <v>9806.8965517241377</v>
      </c>
      <c r="E8" s="178">
        <v>44256</v>
      </c>
      <c r="F8" s="323">
        <v>0.33</v>
      </c>
      <c r="G8" s="321">
        <v>6.04</v>
      </c>
      <c r="H8" s="321">
        <v>14.5</v>
      </c>
      <c r="I8" s="321">
        <v>14.22</v>
      </c>
      <c r="J8" s="179">
        <f t="shared" ref="J8:J30" si="4">I8*F8</f>
        <v>4.6926000000000005</v>
      </c>
      <c r="K8" s="142">
        <f>H8*10000*15000/100000000</f>
        <v>21.75</v>
      </c>
      <c r="L8" s="143">
        <f>(K8-I8-(H8*4000/10000)-I8*0.08)</f>
        <v>0.59239999999999937</v>
      </c>
      <c r="M8" s="144">
        <f>L8/K8</f>
        <v>2.7236781609195373E-2</v>
      </c>
      <c r="N8" s="324" t="s">
        <v>1116</v>
      </c>
      <c r="O8" s="321"/>
      <c r="P8" s="321">
        <v>120.200576</v>
      </c>
      <c r="Q8" s="321">
        <v>33.352024999999998</v>
      </c>
    </row>
    <row r="9" spans="1:17" x14ac:dyDescent="0.2">
      <c r="A9" s="154" t="s">
        <v>574</v>
      </c>
      <c r="B9" s="154" t="s">
        <v>1107</v>
      </c>
      <c r="C9" s="54" t="s">
        <v>1115</v>
      </c>
      <c r="D9" s="325">
        <f t="shared" ref="D9:D41" si="5">I9/H9*10000</f>
        <v>5051.0204081632646</v>
      </c>
      <c r="E9" s="176">
        <v>44257</v>
      </c>
      <c r="F9" s="175">
        <v>0.22</v>
      </c>
      <c r="G9" s="154">
        <v>3.92</v>
      </c>
      <c r="H9" s="154">
        <v>9.8000000000000007</v>
      </c>
      <c r="I9" s="154">
        <v>4.95</v>
      </c>
      <c r="J9" s="155">
        <f t="shared" si="4"/>
        <v>1.089</v>
      </c>
      <c r="K9" s="142">
        <f>H9*10000*11000/100000000</f>
        <v>10.78</v>
      </c>
      <c r="L9" s="143">
        <f>(K9-I9-(H9*4000/10000)-I9*0.08)</f>
        <v>1.5139999999999993</v>
      </c>
      <c r="M9" s="144">
        <f>L9/K9</f>
        <v>0.14044526901669754</v>
      </c>
      <c r="N9" s="54" t="s">
        <v>1117</v>
      </c>
      <c r="O9" s="154"/>
      <c r="P9" s="321">
        <v>120.76997799999999</v>
      </c>
      <c r="Q9" s="321">
        <v>30.134091999999999</v>
      </c>
    </row>
    <row r="10" spans="1:17" x14ac:dyDescent="0.2">
      <c r="A10" s="154" t="s">
        <v>1108</v>
      </c>
      <c r="B10" s="154" t="s">
        <v>1109</v>
      </c>
      <c r="C10" s="54" t="s">
        <v>1118</v>
      </c>
      <c r="D10" s="325">
        <f t="shared" si="5"/>
        <v>3011.6175156389636</v>
      </c>
      <c r="E10" s="176">
        <v>44258</v>
      </c>
      <c r="F10" s="175">
        <v>1</v>
      </c>
      <c r="G10" s="154">
        <v>5.59</v>
      </c>
      <c r="H10" s="154">
        <v>11.19</v>
      </c>
      <c r="I10" s="154">
        <v>3.37</v>
      </c>
      <c r="J10" s="155">
        <f t="shared" si="4"/>
        <v>3.37</v>
      </c>
      <c r="K10" s="142">
        <f>H10*10000*10000/100000000</f>
        <v>11.19</v>
      </c>
      <c r="L10" s="143">
        <f>(K10-I10-(H10*4000/10000)-I10*0.08)</f>
        <v>3.0743999999999994</v>
      </c>
      <c r="M10" s="144">
        <f>L10/K10</f>
        <v>0.27474530831099192</v>
      </c>
      <c r="N10" s="54" t="s">
        <v>1119</v>
      </c>
      <c r="O10" s="154"/>
      <c r="P10" s="321">
        <v>118.605316</v>
      </c>
      <c r="Q10" s="321">
        <v>32.248702999999999</v>
      </c>
    </row>
    <row r="11" spans="1:17" x14ac:dyDescent="0.2">
      <c r="A11" s="154" t="s">
        <v>381</v>
      </c>
      <c r="B11" s="154" t="s">
        <v>1110</v>
      </c>
      <c r="C11" s="54" t="s">
        <v>1120</v>
      </c>
      <c r="D11" s="325">
        <f t="shared" si="5"/>
        <v>4949.2900608519267</v>
      </c>
      <c r="E11" s="176">
        <v>44259</v>
      </c>
      <c r="F11" s="175">
        <v>1</v>
      </c>
      <c r="G11" s="154">
        <v>2.46</v>
      </c>
      <c r="H11" s="154">
        <v>4.93</v>
      </c>
      <c r="I11" s="154">
        <v>2.44</v>
      </c>
      <c r="J11" s="155">
        <f t="shared" si="4"/>
        <v>2.44</v>
      </c>
      <c r="K11" s="142"/>
      <c r="L11" s="143"/>
      <c r="M11" s="144"/>
      <c r="N11" s="54" t="s">
        <v>1121</v>
      </c>
      <c r="O11" s="154"/>
      <c r="P11" s="154"/>
      <c r="Q11" s="154"/>
    </row>
    <row r="12" spans="1:17" x14ac:dyDescent="0.2">
      <c r="A12" s="154" t="s">
        <v>1124</v>
      </c>
      <c r="B12" s="154" t="s">
        <v>810</v>
      </c>
      <c r="C12" s="54" t="s">
        <v>1112</v>
      </c>
      <c r="D12" s="325">
        <f t="shared" si="5"/>
        <v>286.6560127846584</v>
      </c>
      <c r="E12" s="176">
        <v>44260</v>
      </c>
      <c r="F12" s="175">
        <v>0.51</v>
      </c>
      <c r="G12" s="154">
        <v>60.6</v>
      </c>
      <c r="H12" s="345">
        <v>100.12</v>
      </c>
      <c r="I12" s="345">
        <v>2.87</v>
      </c>
      <c r="J12" s="155">
        <f t="shared" si="4"/>
        <v>1.4637</v>
      </c>
      <c r="K12" s="142">
        <f>H12*10000*8000/100000000</f>
        <v>80.096000000000004</v>
      </c>
      <c r="L12" s="143">
        <f>(K12-I12-(H12*4500/10000)-I12*0.08)</f>
        <v>31.942399999999996</v>
      </c>
      <c r="M12" s="144">
        <f t="shared" ref="M12" si="6">L12/K12</f>
        <v>0.39880143827407105</v>
      </c>
      <c r="N12" s="346" t="s">
        <v>1824</v>
      </c>
      <c r="O12" s="154"/>
      <c r="P12" s="154">
        <v>100.96842599999999</v>
      </c>
      <c r="Q12" s="154">
        <v>22.812546000000001</v>
      </c>
    </row>
    <row r="13" spans="1:17" x14ac:dyDescent="0.2">
      <c r="A13" s="154" t="s">
        <v>1111</v>
      </c>
      <c r="B13" s="154" t="s">
        <v>1113</v>
      </c>
      <c r="C13" s="54" t="s">
        <v>1123</v>
      </c>
      <c r="D13" s="325"/>
      <c r="E13" s="176">
        <v>44261</v>
      </c>
      <c r="F13" s="175">
        <v>0.51</v>
      </c>
      <c r="G13" s="154">
        <v>9.57</v>
      </c>
      <c r="H13" s="154">
        <v>7.18</v>
      </c>
      <c r="I13" s="154"/>
      <c r="J13" s="155"/>
      <c r="K13" s="142"/>
      <c r="L13" s="143"/>
      <c r="M13" s="144"/>
      <c r="N13" s="54" t="s">
        <v>1122</v>
      </c>
      <c r="O13" s="154"/>
      <c r="P13" s="154"/>
      <c r="Q13" s="154"/>
    </row>
    <row r="14" spans="1:17" ht="28.5" x14ac:dyDescent="0.2">
      <c r="A14" s="154" t="s">
        <v>389</v>
      </c>
      <c r="B14" s="154" t="s">
        <v>570</v>
      </c>
      <c r="C14" s="54" t="s">
        <v>1772</v>
      </c>
      <c r="D14" s="325">
        <f t="shared" si="5"/>
        <v>1123.3993015133876</v>
      </c>
      <c r="E14" s="176">
        <v>44287</v>
      </c>
      <c r="F14" s="175">
        <v>0.26400000000000001</v>
      </c>
      <c r="G14" s="154">
        <v>5.73</v>
      </c>
      <c r="H14" s="154">
        <v>17.18</v>
      </c>
      <c r="I14" s="154">
        <v>1.93</v>
      </c>
      <c r="J14" s="155">
        <f t="shared" si="4"/>
        <v>0.50951999999999997</v>
      </c>
      <c r="K14" s="142">
        <f>H14*10000*8500/100000000</f>
        <v>14.603</v>
      </c>
      <c r="L14" s="143">
        <f>(K14-I14-(H14*4000/10000)-I14*0.08)</f>
        <v>5.6466000000000003</v>
      </c>
      <c r="M14" s="144">
        <f>L14/K14</f>
        <v>0.38667397110182844</v>
      </c>
      <c r="N14" s="54" t="s">
        <v>1774</v>
      </c>
      <c r="O14" s="68" t="s">
        <v>1771</v>
      </c>
      <c r="P14" s="154">
        <v>119.04521099999999</v>
      </c>
      <c r="Q14" s="154">
        <v>33.648758000000001</v>
      </c>
    </row>
    <row r="15" spans="1:17" ht="28.5" x14ac:dyDescent="0.2">
      <c r="A15" s="154" t="s">
        <v>1363</v>
      </c>
      <c r="B15" s="154" t="s">
        <v>1768</v>
      </c>
      <c r="C15" s="54" t="s">
        <v>1773</v>
      </c>
      <c r="D15" s="325">
        <f t="shared" si="5"/>
        <v>4963.2352941176468</v>
      </c>
      <c r="E15" s="176">
        <v>44288</v>
      </c>
      <c r="F15" s="175">
        <v>0.19800000000000001</v>
      </c>
      <c r="G15" s="154">
        <v>4.08</v>
      </c>
      <c r="H15" s="154">
        <v>8.16</v>
      </c>
      <c r="I15" s="154">
        <v>4.05</v>
      </c>
      <c r="J15" s="155">
        <f t="shared" si="4"/>
        <v>0.80190000000000006</v>
      </c>
      <c r="K15" s="142">
        <f>H15*10000*14000/100000000</f>
        <v>11.423999999999999</v>
      </c>
      <c r="L15" s="143">
        <f>(K15-I15-(H15*4500/10000)-I15*0.08)</f>
        <v>3.3779999999999997</v>
      </c>
      <c r="M15" s="144">
        <f>L15/K15</f>
        <v>0.29569327731092437</v>
      </c>
      <c r="N15" s="54" t="s">
        <v>1775</v>
      </c>
      <c r="O15" s="154"/>
      <c r="P15" s="154">
        <v>120.854665</v>
      </c>
      <c r="Q15" s="154">
        <v>31.642408</v>
      </c>
    </row>
    <row r="16" spans="1:17" x14ac:dyDescent="0.2">
      <c r="A16" s="154" t="s">
        <v>363</v>
      </c>
      <c r="B16" s="154" t="s">
        <v>1777</v>
      </c>
      <c r="C16" s="54" t="s">
        <v>1776</v>
      </c>
      <c r="D16" s="325">
        <f>I16/H16*10000</f>
        <v>887.4132206459401</v>
      </c>
      <c r="E16" s="176">
        <v>44289</v>
      </c>
      <c r="F16" s="175">
        <v>0.75</v>
      </c>
      <c r="G16" s="154">
        <v>12.27</v>
      </c>
      <c r="H16" s="154">
        <v>33.130000000000003</v>
      </c>
      <c r="I16" s="154">
        <v>2.94</v>
      </c>
      <c r="J16" s="155">
        <f t="shared" si="4"/>
        <v>2.2050000000000001</v>
      </c>
      <c r="K16" s="142">
        <f>H16*10000*8000/100000000</f>
        <v>26.504000000000001</v>
      </c>
      <c r="L16" s="143">
        <f>(K16-I16-(H16*4500/10000)-I16*0.08)</f>
        <v>8.4202999999999992</v>
      </c>
      <c r="M16" s="144">
        <f t="shared" ref="M16:M30" si="7">L16/K16</f>
        <v>0.31769921521279804</v>
      </c>
      <c r="N16" s="54"/>
      <c r="O16" s="154"/>
      <c r="P16" s="154">
        <v>119.77748</v>
      </c>
      <c r="Q16" s="154">
        <v>33.771284000000001</v>
      </c>
    </row>
    <row r="17" spans="1:17" x14ac:dyDescent="0.2">
      <c r="A17" s="154" t="s">
        <v>1769</v>
      </c>
      <c r="B17" s="154" t="s">
        <v>1779</v>
      </c>
      <c r="C17" s="54" t="s">
        <v>1778</v>
      </c>
      <c r="D17" s="325">
        <f t="shared" si="5"/>
        <v>642.97800338409468</v>
      </c>
      <c r="E17" s="176">
        <v>44290</v>
      </c>
      <c r="F17" s="175">
        <v>0.26</v>
      </c>
      <c r="G17" s="154">
        <v>4.22</v>
      </c>
      <c r="H17" s="154">
        <v>11.82</v>
      </c>
      <c r="I17" s="154">
        <v>0.76</v>
      </c>
      <c r="J17" s="155">
        <f t="shared" si="4"/>
        <v>0.1976</v>
      </c>
      <c r="K17" s="142">
        <f>H17*10000*8000/100000000</f>
        <v>9.4559999999999995</v>
      </c>
      <c r="L17" s="143">
        <f>(K17-I17-(H17*4500/10000)-I17*0.08)</f>
        <v>3.3161999999999998</v>
      </c>
      <c r="M17" s="144">
        <f t="shared" si="7"/>
        <v>0.35069796954314719</v>
      </c>
      <c r="N17" s="54"/>
      <c r="O17" s="154"/>
      <c r="P17" s="154">
        <v>111.047467</v>
      </c>
      <c r="Q17" s="154">
        <v>39.056717999999996</v>
      </c>
    </row>
    <row r="18" spans="1:17" x14ac:dyDescent="0.2">
      <c r="A18" s="154" t="s">
        <v>580</v>
      </c>
      <c r="B18" s="154" t="s">
        <v>581</v>
      </c>
      <c r="C18" s="54" t="s">
        <v>1780</v>
      </c>
      <c r="D18" s="325">
        <f t="shared" si="5"/>
        <v>212.18715995647446</v>
      </c>
      <c r="E18" s="176">
        <v>44291</v>
      </c>
      <c r="F18" s="175">
        <v>0.3</v>
      </c>
      <c r="G18" s="154">
        <v>7.35</v>
      </c>
      <c r="H18" s="154">
        <v>18.38</v>
      </c>
      <c r="I18" s="154">
        <v>0.39</v>
      </c>
      <c r="J18" s="155">
        <f t="shared" si="4"/>
        <v>0.11699999999999999</v>
      </c>
      <c r="K18" s="142">
        <f>H18*10000*8000/100000000</f>
        <v>14.704000000000001</v>
      </c>
      <c r="L18" s="143">
        <f>(K18-I18-(H18*4500/10000)-I18*0.08)</f>
        <v>6.0117999999999991</v>
      </c>
      <c r="M18" s="144">
        <f t="shared" si="7"/>
        <v>0.40885473340587586</v>
      </c>
      <c r="N18" s="54"/>
      <c r="O18" s="154"/>
      <c r="P18" s="154">
        <v>100.092726</v>
      </c>
      <c r="Q18" s="154">
        <v>22.259408000000001</v>
      </c>
    </row>
    <row r="19" spans="1:17" ht="28.5" x14ac:dyDescent="0.2">
      <c r="A19" s="154" t="s">
        <v>1363</v>
      </c>
      <c r="B19" s="154" t="s">
        <v>392</v>
      </c>
      <c r="C19" s="54" t="s">
        <v>1818</v>
      </c>
      <c r="D19" s="325">
        <f t="shared" si="5"/>
        <v>6806.6561014263079</v>
      </c>
      <c r="E19" s="176">
        <v>44317</v>
      </c>
      <c r="F19" s="175">
        <v>0.36749999999999999</v>
      </c>
      <c r="G19" s="154">
        <v>5.73</v>
      </c>
      <c r="H19" s="154">
        <v>12.62</v>
      </c>
      <c r="I19" s="154">
        <v>8.59</v>
      </c>
      <c r="J19" s="155">
        <f t="shared" si="4"/>
        <v>3.156825</v>
      </c>
      <c r="K19" s="142">
        <f>H19*10000*12800/100000000</f>
        <v>16.153599999999997</v>
      </c>
      <c r="L19" s="143">
        <f>(K19-I19-(H19*4000/10000)-I19*0.08)</f>
        <v>1.8283999999999974</v>
      </c>
      <c r="M19" s="144">
        <f t="shared" si="7"/>
        <v>0.11318839144215516</v>
      </c>
      <c r="N19" s="54" t="s">
        <v>1819</v>
      </c>
      <c r="O19" s="154"/>
      <c r="P19" s="154"/>
      <c r="Q19" s="154"/>
    </row>
    <row r="20" spans="1:17" ht="28.5" x14ac:dyDescent="0.2">
      <c r="A20" s="154" t="s">
        <v>350</v>
      </c>
      <c r="B20" s="154" t="s">
        <v>1785</v>
      </c>
      <c r="C20" s="54" t="s">
        <v>1816</v>
      </c>
      <c r="D20" s="325">
        <f t="shared" si="5"/>
        <v>5074.294205052006</v>
      </c>
      <c r="E20" s="176">
        <v>44318</v>
      </c>
      <c r="F20" s="175">
        <v>0.51</v>
      </c>
      <c r="G20" s="154">
        <v>6.12</v>
      </c>
      <c r="H20" s="154">
        <v>13.46</v>
      </c>
      <c r="I20" s="154">
        <v>6.83</v>
      </c>
      <c r="J20" s="155">
        <f t="shared" si="4"/>
        <v>3.4833000000000003</v>
      </c>
      <c r="K20" s="142">
        <f>H20*10000*9800/100000000</f>
        <v>13.190799999999999</v>
      </c>
      <c r="L20" s="143">
        <f>(K20-I20-(H20*4000/10000)-I20*0.08)</f>
        <v>0.43039999999999901</v>
      </c>
      <c r="M20" s="144">
        <f t="shared" si="7"/>
        <v>3.2628801892227839E-2</v>
      </c>
      <c r="N20" s="54" t="s">
        <v>1817</v>
      </c>
      <c r="O20" s="154"/>
      <c r="P20" s="154"/>
      <c r="Q20" s="154"/>
    </row>
    <row r="21" spans="1:17" x14ac:dyDescent="0.2">
      <c r="A21" s="154" t="s">
        <v>1786</v>
      </c>
      <c r="B21" s="154" t="s">
        <v>1820</v>
      </c>
      <c r="C21" s="54" t="s">
        <v>1815</v>
      </c>
      <c r="D21" s="325">
        <f t="shared" si="5"/>
        <v>3101.2962073931831</v>
      </c>
      <c r="E21" s="176">
        <v>44319</v>
      </c>
      <c r="F21" s="175">
        <v>0.71250000000000002</v>
      </c>
      <c r="G21" s="154">
        <v>10.42</v>
      </c>
      <c r="H21" s="154">
        <v>20.83</v>
      </c>
      <c r="I21" s="154">
        <v>6.46</v>
      </c>
      <c r="J21" s="155">
        <f t="shared" si="4"/>
        <v>4.6027500000000003</v>
      </c>
      <c r="K21" s="142">
        <f>H21*10000*11000/100000000</f>
        <v>22.912999999999997</v>
      </c>
      <c r="L21" s="143">
        <f>(K21-I21-(H21*4000/10000)-I21*0.08)</f>
        <v>7.6041999999999952</v>
      </c>
      <c r="M21" s="144">
        <f t="shared" si="7"/>
        <v>0.33187273600139644</v>
      </c>
      <c r="N21" s="54" t="s">
        <v>1821</v>
      </c>
      <c r="O21" s="154"/>
      <c r="P21" s="154"/>
      <c r="Q21" s="154"/>
    </row>
    <row r="22" spans="1:17" x14ac:dyDescent="0.2">
      <c r="A22" s="154" t="s">
        <v>1787</v>
      </c>
      <c r="B22" s="154" t="s">
        <v>1788</v>
      </c>
      <c r="C22" s="54" t="s">
        <v>1813</v>
      </c>
      <c r="D22" s="325">
        <f t="shared" si="5"/>
        <v>4124.0569991617767</v>
      </c>
      <c r="E22" s="176">
        <v>44320</v>
      </c>
      <c r="F22" s="175">
        <v>0.125</v>
      </c>
      <c r="G22" s="154">
        <v>10.53</v>
      </c>
      <c r="H22" s="154">
        <v>23.86</v>
      </c>
      <c r="I22" s="154">
        <v>9.84</v>
      </c>
      <c r="J22" s="155">
        <f t="shared" si="4"/>
        <v>1.23</v>
      </c>
      <c r="K22" s="142">
        <f>H22*10000*8900/100000000</f>
        <v>21.235399999999998</v>
      </c>
      <c r="L22" s="143">
        <f>(K22-I22-(H22*3500/10000)-I22*0.08)</f>
        <v>2.2571999999999979</v>
      </c>
      <c r="M22" s="144">
        <f t="shared" si="7"/>
        <v>0.10629420684328988</v>
      </c>
      <c r="N22" s="54" t="s">
        <v>1814</v>
      </c>
      <c r="O22" s="154"/>
      <c r="P22" s="154"/>
      <c r="Q22" s="154"/>
    </row>
    <row r="23" spans="1:17" x14ac:dyDescent="0.2">
      <c r="A23" s="154" t="s">
        <v>1811</v>
      </c>
      <c r="B23" s="154" t="s">
        <v>1825</v>
      </c>
      <c r="C23" s="54" t="s">
        <v>1810</v>
      </c>
      <c r="D23" s="325">
        <f t="shared" si="5"/>
        <v>3471.2315739419873</v>
      </c>
      <c r="E23" s="176">
        <v>44321</v>
      </c>
      <c r="F23" s="175">
        <v>0.3</v>
      </c>
      <c r="G23" s="154">
        <v>10.51</v>
      </c>
      <c r="H23" s="154">
        <v>21.03</v>
      </c>
      <c r="I23" s="154">
        <v>7.3</v>
      </c>
      <c r="J23" s="155">
        <f t="shared" si="4"/>
        <v>2.19</v>
      </c>
      <c r="K23" s="142">
        <f>H23*10000*11000/100000000</f>
        <v>23.132999999999999</v>
      </c>
      <c r="L23" s="143">
        <f>(K23-I23-(H23*4000/10000)-I23*0.08)</f>
        <v>6.836999999999998</v>
      </c>
      <c r="M23" s="144">
        <f t="shared" si="7"/>
        <v>0.29555180910387752</v>
      </c>
      <c r="N23" s="54" t="s">
        <v>1812</v>
      </c>
      <c r="O23" s="154"/>
      <c r="P23" s="154"/>
      <c r="Q23" s="154"/>
    </row>
    <row r="24" spans="1:17" x14ac:dyDescent="0.2">
      <c r="A24" s="154" t="s">
        <v>1822</v>
      </c>
      <c r="B24" s="154" t="s">
        <v>1809</v>
      </c>
      <c r="C24" s="54" t="s">
        <v>1808</v>
      </c>
      <c r="D24" s="325">
        <f t="shared" si="5"/>
        <v>2839.889579020014</v>
      </c>
      <c r="E24" s="176">
        <v>44322</v>
      </c>
      <c r="F24" s="175">
        <v>0.34</v>
      </c>
      <c r="G24" s="154">
        <v>9.99</v>
      </c>
      <c r="H24" s="154">
        <v>28.98</v>
      </c>
      <c r="I24" s="154">
        <v>8.23</v>
      </c>
      <c r="J24" s="155">
        <f t="shared" si="4"/>
        <v>2.7982000000000005</v>
      </c>
      <c r="K24" s="142">
        <f>H24*10000*9000/100000000</f>
        <v>26.082000000000001</v>
      </c>
      <c r="L24" s="143">
        <f>(K24-I24-(H24*4000/10000)-I24*0.08)</f>
        <v>5.6015999999999995</v>
      </c>
      <c r="M24" s="144">
        <f t="shared" si="7"/>
        <v>0.21476880607315388</v>
      </c>
      <c r="N24" s="54" t="s">
        <v>1823</v>
      </c>
      <c r="O24" s="154"/>
      <c r="P24" s="154"/>
      <c r="Q24" s="154"/>
    </row>
    <row r="25" spans="1:17" x14ac:dyDescent="0.2">
      <c r="A25" s="154" t="s">
        <v>378</v>
      </c>
      <c r="B25" s="154" t="s">
        <v>1789</v>
      </c>
      <c r="C25" s="54" t="s">
        <v>1805</v>
      </c>
      <c r="D25" s="325">
        <f t="shared" si="5"/>
        <v>4823.6415633937077</v>
      </c>
      <c r="E25" s="176">
        <v>44323</v>
      </c>
      <c r="F25" s="175">
        <v>0.51</v>
      </c>
      <c r="G25" s="154">
        <v>5.83</v>
      </c>
      <c r="H25" s="154">
        <v>10.49</v>
      </c>
      <c r="I25" s="154">
        <v>5.0599999999999996</v>
      </c>
      <c r="J25" s="155">
        <f t="shared" si="4"/>
        <v>2.5806</v>
      </c>
      <c r="K25" s="142">
        <f>H25*10000*23000/100000000</f>
        <v>24.126999999999999</v>
      </c>
      <c r="L25" s="143">
        <f>(K25-I25-(H25*4500/10000)-I25*0.08)</f>
        <v>13.941699999999999</v>
      </c>
      <c r="M25" s="144">
        <f t="shared" si="7"/>
        <v>0.57784639615368671</v>
      </c>
      <c r="N25" s="54" t="s">
        <v>1807</v>
      </c>
      <c r="O25" s="154"/>
      <c r="P25" s="154"/>
      <c r="Q25" s="154"/>
    </row>
    <row r="26" spans="1:17" x14ac:dyDescent="0.2">
      <c r="A26" s="154" t="s">
        <v>378</v>
      </c>
      <c r="B26" s="154" t="s">
        <v>1789</v>
      </c>
      <c r="C26" s="54" t="s">
        <v>1794</v>
      </c>
      <c r="D26" s="325">
        <f t="shared" si="5"/>
        <v>2864.5833333333335</v>
      </c>
      <c r="E26" s="176">
        <v>44324</v>
      </c>
      <c r="F26" s="175">
        <v>0.51</v>
      </c>
      <c r="G26" s="154">
        <v>3.84</v>
      </c>
      <c r="H26" s="154">
        <v>13.44</v>
      </c>
      <c r="I26" s="154">
        <v>3.85</v>
      </c>
      <c r="J26" s="155">
        <f t="shared" si="4"/>
        <v>1.9635</v>
      </c>
      <c r="K26" s="142">
        <f>H26*10000*11500/100000000</f>
        <v>15.456</v>
      </c>
      <c r="L26" s="143">
        <f>(K26-I26-(H26*4500/10000)-I26*0.08)</f>
        <v>5.25</v>
      </c>
      <c r="M26" s="144">
        <f t="shared" si="7"/>
        <v>0.33967391304347827</v>
      </c>
      <c r="N26" s="54" t="s">
        <v>1806</v>
      </c>
      <c r="O26" s="154"/>
      <c r="P26" s="154"/>
      <c r="Q26" s="154"/>
    </row>
    <row r="27" spans="1:17" ht="42.75" x14ac:dyDescent="0.2">
      <c r="A27" s="154" t="s">
        <v>1790</v>
      </c>
      <c r="B27" s="154" t="s">
        <v>1791</v>
      </c>
      <c r="C27" s="54" t="s">
        <v>1802</v>
      </c>
      <c r="D27" s="325">
        <f t="shared" si="5"/>
        <v>899.71883786316778</v>
      </c>
      <c r="E27" s="176">
        <v>44325</v>
      </c>
      <c r="F27" s="175">
        <v>0.38250000000000001</v>
      </c>
      <c r="G27" s="154">
        <v>5.33</v>
      </c>
      <c r="H27" s="154">
        <v>10.67</v>
      </c>
      <c r="I27" s="154">
        <v>0.96</v>
      </c>
      <c r="J27" s="155">
        <f t="shared" si="4"/>
        <v>0.36719999999999997</v>
      </c>
      <c r="K27" s="142">
        <f>H27*10000*9000/100000000</f>
        <v>9.6029999999999998</v>
      </c>
      <c r="L27" s="143">
        <f>(K27-I27-(H27*4500/10000)-I27*0.08)</f>
        <v>3.7647000000000008</v>
      </c>
      <c r="M27" s="144">
        <f>L27/K27</f>
        <v>0.39203373945641995</v>
      </c>
      <c r="N27" s="54" t="s">
        <v>1804</v>
      </c>
      <c r="O27" s="68" t="s">
        <v>1803</v>
      </c>
      <c r="P27" s="154"/>
      <c r="Q27" s="154"/>
    </row>
    <row r="28" spans="1:17" x14ac:dyDescent="0.2">
      <c r="A28" s="154" t="s">
        <v>420</v>
      </c>
      <c r="B28" s="154" t="s">
        <v>1792</v>
      </c>
      <c r="C28" s="54" t="s">
        <v>1800</v>
      </c>
      <c r="D28" s="325">
        <f t="shared" si="5"/>
        <v>2238.8059701492534</v>
      </c>
      <c r="E28" s="176">
        <v>44326</v>
      </c>
      <c r="F28" s="175">
        <v>1</v>
      </c>
      <c r="G28" s="154">
        <v>2.2200000000000002</v>
      </c>
      <c r="H28" s="154">
        <v>5.36</v>
      </c>
      <c r="I28" s="154">
        <v>1.2</v>
      </c>
      <c r="J28" s="155">
        <f t="shared" si="4"/>
        <v>1.2</v>
      </c>
      <c r="K28" s="142">
        <f>H28*10000*8500/100000000</f>
        <v>4.556</v>
      </c>
      <c r="L28" s="143">
        <f>(K28-I28-(H28*4000/10000)-I28*0.08)</f>
        <v>1.1159999999999997</v>
      </c>
      <c r="M28" s="144">
        <f t="shared" si="7"/>
        <v>0.24495171202809474</v>
      </c>
      <c r="N28" s="54" t="s">
        <v>1801</v>
      </c>
      <c r="O28" s="154"/>
      <c r="P28" s="154"/>
      <c r="Q28" s="154"/>
    </row>
    <row r="29" spans="1:17" ht="28.5" x14ac:dyDescent="0.2">
      <c r="A29" s="154" t="s">
        <v>413</v>
      </c>
      <c r="B29" s="154" t="s">
        <v>1793</v>
      </c>
      <c r="C29" s="54" t="s">
        <v>1798</v>
      </c>
      <c r="D29" s="325">
        <f t="shared" si="5"/>
        <v>4293.333333333333</v>
      </c>
      <c r="E29" s="176">
        <v>44327</v>
      </c>
      <c r="F29" s="175">
        <v>0.51</v>
      </c>
      <c r="G29" s="154">
        <v>5.13</v>
      </c>
      <c r="H29" s="154">
        <v>11.25</v>
      </c>
      <c r="I29" s="154">
        <v>4.83</v>
      </c>
      <c r="J29" s="155">
        <f t="shared" si="4"/>
        <v>2.4633000000000003</v>
      </c>
      <c r="K29" s="142">
        <f>H29*10000*9000/100000000</f>
        <v>10.125</v>
      </c>
      <c r="L29" s="143">
        <f>(K29-I29-(H29*3500/10000)-I29*0.08)</f>
        <v>0.97109999999999985</v>
      </c>
      <c r="M29" s="144">
        <f t="shared" si="7"/>
        <v>9.59111111111111E-2</v>
      </c>
      <c r="N29" s="54" t="s">
        <v>1797</v>
      </c>
      <c r="O29" s="154"/>
      <c r="P29" s="154"/>
      <c r="Q29" s="154"/>
    </row>
    <row r="30" spans="1:17" x14ac:dyDescent="0.2">
      <c r="A30" s="154" t="s">
        <v>413</v>
      </c>
      <c r="B30" s="154" t="s">
        <v>1793</v>
      </c>
      <c r="C30" s="54" t="s">
        <v>1796</v>
      </c>
      <c r="D30" s="325">
        <f t="shared" si="5"/>
        <v>4695.1219512195121</v>
      </c>
      <c r="E30" s="176">
        <v>44328</v>
      </c>
      <c r="F30" s="175">
        <v>0.49</v>
      </c>
      <c r="G30" s="154">
        <v>4.5599999999999996</v>
      </c>
      <c r="H30" s="154">
        <v>8.1999999999999993</v>
      </c>
      <c r="I30" s="154">
        <v>3.85</v>
      </c>
      <c r="J30" s="155">
        <f t="shared" si="4"/>
        <v>1.8865000000000001</v>
      </c>
      <c r="K30" s="142">
        <f>H30*10000*9000/100000000</f>
        <v>7.38</v>
      </c>
      <c r="L30" s="143">
        <f>(K30-I30-(H30*3500/10000)-I30*0.08)</f>
        <v>0.35200000000000015</v>
      </c>
      <c r="M30" s="144">
        <f t="shared" si="7"/>
        <v>4.7696476964769668E-2</v>
      </c>
      <c r="N30" s="54" t="s">
        <v>1797</v>
      </c>
      <c r="O30" s="154"/>
      <c r="P30" s="154"/>
      <c r="Q30" s="154"/>
    </row>
    <row r="31" spans="1:17" x14ac:dyDescent="0.2">
      <c r="A31" s="154" t="s">
        <v>585</v>
      </c>
      <c r="B31" s="154" t="s">
        <v>586</v>
      </c>
      <c r="C31" s="54" t="s">
        <v>1795</v>
      </c>
      <c r="D31" s="325">
        <f t="shared" si="5"/>
        <v>10509.031198686371</v>
      </c>
      <c r="E31" s="176">
        <v>44329</v>
      </c>
      <c r="F31" s="175">
        <v>1</v>
      </c>
      <c r="G31" s="154">
        <v>4.6100000000000003</v>
      </c>
      <c r="H31" s="154">
        <v>12.18</v>
      </c>
      <c r="I31" s="154">
        <v>12.8</v>
      </c>
      <c r="J31" s="155">
        <f>I31*F31</f>
        <v>12.8</v>
      </c>
      <c r="K31" s="142">
        <f>H31*10000*15109/100000000</f>
        <v>18.402761999999999</v>
      </c>
      <c r="L31" s="143">
        <f t="shared" ref="L31:L36" si="8">(K31-I31-(H31*4000/10000)-I31*0.08)</f>
        <v>-0.29323800000000144</v>
      </c>
      <c r="M31" s="144">
        <f>L31/K31</f>
        <v>-1.5934455925692103E-2</v>
      </c>
      <c r="N31" s="54" t="s">
        <v>1799</v>
      </c>
      <c r="O31" s="154"/>
      <c r="P31" s="154"/>
      <c r="Q31" s="154"/>
    </row>
    <row r="32" spans="1:17" x14ac:dyDescent="0.2">
      <c r="A32" s="154" t="s">
        <v>1363</v>
      </c>
      <c r="B32" s="154" t="s">
        <v>1827</v>
      </c>
      <c r="C32" s="54" t="s">
        <v>1874</v>
      </c>
      <c r="D32" s="325">
        <f>I32/H32*10000</f>
        <v>5618.3745583038872</v>
      </c>
      <c r="E32" s="176">
        <v>44348</v>
      </c>
      <c r="F32" s="175">
        <v>0.1125</v>
      </c>
      <c r="G32" s="154">
        <v>2.83</v>
      </c>
      <c r="H32" s="154">
        <v>5.66</v>
      </c>
      <c r="I32" s="154">
        <v>3.18</v>
      </c>
      <c r="J32" s="155">
        <f t="shared" ref="J32:J43" si="9">I32*F32</f>
        <v>0.35775000000000001</v>
      </c>
      <c r="K32" s="142">
        <f>H32*10000*12000/100000000</f>
        <v>6.7919999999999998</v>
      </c>
      <c r="L32" s="143">
        <f t="shared" si="8"/>
        <v>1.0935999999999999</v>
      </c>
      <c r="M32" s="144">
        <f t="shared" ref="M32:M42" si="10">L32/K32</f>
        <v>0.16101295641931684</v>
      </c>
      <c r="N32" s="54" t="s">
        <v>1876</v>
      </c>
      <c r="O32" s="154"/>
      <c r="P32" s="154">
        <v>121.266187</v>
      </c>
      <c r="Q32" s="154">
        <v>31.507497000000001</v>
      </c>
    </row>
    <row r="33" spans="1:17" x14ac:dyDescent="0.2">
      <c r="A33" s="154" t="s">
        <v>1363</v>
      </c>
      <c r="B33" s="154" t="s">
        <v>1827</v>
      </c>
      <c r="C33" s="54" t="s">
        <v>1843</v>
      </c>
      <c r="D33" s="325">
        <f t="shared" si="5"/>
        <v>5910.1844426623893</v>
      </c>
      <c r="E33" s="176">
        <v>44349</v>
      </c>
      <c r="F33" s="175">
        <v>0.17249999999999999</v>
      </c>
      <c r="G33" s="154">
        <v>6.23</v>
      </c>
      <c r="H33" s="154">
        <v>12.47</v>
      </c>
      <c r="I33" s="154">
        <v>7.37</v>
      </c>
      <c r="J33" s="155">
        <f t="shared" si="9"/>
        <v>1.2713249999999998</v>
      </c>
      <c r="K33" s="142">
        <f>H33*10000*12000/100000000</f>
        <v>14.964</v>
      </c>
      <c r="L33" s="143">
        <f t="shared" si="8"/>
        <v>2.0164</v>
      </c>
      <c r="M33" s="144">
        <f t="shared" si="10"/>
        <v>0.1347500668270516</v>
      </c>
      <c r="N33" s="54" t="s">
        <v>1875</v>
      </c>
      <c r="O33" s="154"/>
      <c r="P33" s="154">
        <v>121.265648</v>
      </c>
      <c r="Q33" s="154">
        <v>31.506388999999999</v>
      </c>
    </row>
    <row r="34" spans="1:17" ht="28.5" x14ac:dyDescent="0.2">
      <c r="A34" s="154" t="s">
        <v>350</v>
      </c>
      <c r="B34" s="154" t="s">
        <v>1785</v>
      </c>
      <c r="C34" s="54" t="s">
        <v>1871</v>
      </c>
      <c r="D34" s="325">
        <f t="shared" si="5"/>
        <v>4147.5644699140403</v>
      </c>
      <c r="E34" s="176">
        <v>44350</v>
      </c>
      <c r="F34" s="175">
        <v>0.30599999999999999</v>
      </c>
      <c r="G34" s="154">
        <v>6.98</v>
      </c>
      <c r="H34" s="154">
        <v>13.96</v>
      </c>
      <c r="I34" s="154">
        <v>5.79</v>
      </c>
      <c r="J34" s="155">
        <f t="shared" si="9"/>
        <v>1.7717399999999999</v>
      </c>
      <c r="K34" s="142">
        <f>H34*10000*10000/100000000</f>
        <v>13.96</v>
      </c>
      <c r="L34" s="143">
        <f t="shared" si="8"/>
        <v>2.122800000000002</v>
      </c>
      <c r="M34" s="144">
        <f t="shared" si="10"/>
        <v>0.1520630372492838</v>
      </c>
      <c r="N34" s="54" t="s">
        <v>1872</v>
      </c>
      <c r="O34" s="68" t="s">
        <v>1873</v>
      </c>
      <c r="P34" s="154">
        <v>120.609357</v>
      </c>
      <c r="Q34" s="154">
        <v>32.105910999999999</v>
      </c>
    </row>
    <row r="35" spans="1:17" ht="28.5" x14ac:dyDescent="0.2">
      <c r="A35" s="154" t="s">
        <v>406</v>
      </c>
      <c r="B35" s="154" t="s">
        <v>1829</v>
      </c>
      <c r="C35" s="54" t="s">
        <v>1862</v>
      </c>
      <c r="D35" s="325">
        <f t="shared" si="5"/>
        <v>6885.245901639345</v>
      </c>
      <c r="E35" s="176">
        <v>44351</v>
      </c>
      <c r="F35" s="175">
        <v>0.25</v>
      </c>
      <c r="G35" s="154">
        <v>12.9</v>
      </c>
      <c r="H35" s="154">
        <v>24.4</v>
      </c>
      <c r="I35" s="154">
        <v>16.8</v>
      </c>
      <c r="J35" s="155">
        <f t="shared" si="9"/>
        <v>4.2</v>
      </c>
      <c r="K35" s="142">
        <f>H35*10000*16500/100000000</f>
        <v>40.26</v>
      </c>
      <c r="L35" s="143">
        <f t="shared" si="8"/>
        <v>12.355999999999998</v>
      </c>
      <c r="M35" s="144">
        <f t="shared" si="10"/>
        <v>0.30690511674118226</v>
      </c>
      <c r="N35" s="54" t="s">
        <v>1864</v>
      </c>
      <c r="O35" s="68" t="s">
        <v>1863</v>
      </c>
      <c r="P35" s="154">
        <v>121.164698</v>
      </c>
      <c r="Q35" s="154">
        <v>30.025541</v>
      </c>
    </row>
    <row r="36" spans="1:17" ht="28.5" x14ac:dyDescent="0.2">
      <c r="A36" s="154" t="s">
        <v>1830</v>
      </c>
      <c r="B36" s="154" t="s">
        <v>1831</v>
      </c>
      <c r="C36" s="54" t="s">
        <v>1852</v>
      </c>
      <c r="D36" s="325">
        <f t="shared" si="5"/>
        <v>15603.946920721335</v>
      </c>
      <c r="E36" s="176">
        <v>44352</v>
      </c>
      <c r="F36" s="175">
        <v>0.34</v>
      </c>
      <c r="G36" s="154">
        <v>10.42</v>
      </c>
      <c r="H36" s="154">
        <v>29.39</v>
      </c>
      <c r="I36" s="154">
        <v>45.86</v>
      </c>
      <c r="J36" s="155">
        <f t="shared" si="9"/>
        <v>15.592400000000001</v>
      </c>
      <c r="K36" s="142">
        <f>H36*10000*27000/100000000</f>
        <v>79.352999999999994</v>
      </c>
      <c r="L36" s="143">
        <f t="shared" si="8"/>
        <v>18.068199999999994</v>
      </c>
      <c r="M36" s="144">
        <f t="shared" si="10"/>
        <v>0.22769397502299843</v>
      </c>
      <c r="N36" s="54" t="s">
        <v>1854</v>
      </c>
      <c r="O36" s="68" t="s">
        <v>1855</v>
      </c>
      <c r="P36" s="154">
        <v>120.62862699999999</v>
      </c>
      <c r="Q36" s="154">
        <v>27.961314000000002</v>
      </c>
    </row>
    <row r="37" spans="1:17" x14ac:dyDescent="0.2">
      <c r="A37" s="154" t="s">
        <v>1830</v>
      </c>
      <c r="B37" s="154" t="s">
        <v>1831</v>
      </c>
      <c r="C37" s="54" t="s">
        <v>1865</v>
      </c>
      <c r="D37" s="325">
        <f t="shared" si="5"/>
        <v>18000</v>
      </c>
      <c r="E37" s="176">
        <v>44353</v>
      </c>
      <c r="F37" s="175">
        <v>0.5</v>
      </c>
      <c r="G37" s="154">
        <v>1.36</v>
      </c>
      <c r="H37" s="154">
        <v>3</v>
      </c>
      <c r="I37" s="154">
        <v>5.4</v>
      </c>
      <c r="J37" s="155">
        <f t="shared" si="9"/>
        <v>2.7</v>
      </c>
      <c r="K37" s="142">
        <f>H37*10000*30000/100000000</f>
        <v>9</v>
      </c>
      <c r="L37" s="143">
        <f>(K37-I37-(H37*4500/10000)-I37*0.08)</f>
        <v>1.8179999999999996</v>
      </c>
      <c r="M37" s="144">
        <f t="shared" si="10"/>
        <v>0.20199999999999996</v>
      </c>
      <c r="N37" s="54" t="s">
        <v>1866</v>
      </c>
      <c r="O37" s="68" t="s">
        <v>1868</v>
      </c>
      <c r="P37" s="154">
        <v>120.641811</v>
      </c>
      <c r="Q37" s="154">
        <v>28.012536000000001</v>
      </c>
    </row>
    <row r="38" spans="1:17" x14ac:dyDescent="0.2">
      <c r="A38" s="154" t="s">
        <v>359</v>
      </c>
      <c r="B38" s="154" t="s">
        <v>1833</v>
      </c>
      <c r="C38" s="54" t="s">
        <v>1880</v>
      </c>
      <c r="D38" s="325">
        <f t="shared" si="5"/>
        <v>4412.7516778523486</v>
      </c>
      <c r="E38" s="176">
        <v>44354</v>
      </c>
      <c r="F38" s="175">
        <v>0.21</v>
      </c>
      <c r="G38" s="154">
        <v>2.98</v>
      </c>
      <c r="H38" s="154">
        <v>5.96</v>
      </c>
      <c r="I38" s="154">
        <v>2.63</v>
      </c>
      <c r="J38" s="155">
        <f t="shared" si="9"/>
        <v>0.5522999999999999</v>
      </c>
      <c r="K38" s="142">
        <f>H38*10000*10000/100000000</f>
        <v>5.96</v>
      </c>
      <c r="L38" s="143">
        <f t="shared" ref="L38" si="11">(K38-I38-(H38*4000/10000)-I38*0.08)</f>
        <v>0.73560000000000014</v>
      </c>
      <c r="M38" s="144">
        <f t="shared" si="10"/>
        <v>0.12342281879194633</v>
      </c>
      <c r="N38" s="54" t="s">
        <v>1881</v>
      </c>
      <c r="O38" s="68" t="s">
        <v>1882</v>
      </c>
      <c r="P38" s="154">
        <v>104.145278</v>
      </c>
      <c r="Q38" s="154">
        <v>30.811233999999999</v>
      </c>
    </row>
    <row r="39" spans="1:17" x14ac:dyDescent="0.2">
      <c r="A39" s="154" t="s">
        <v>420</v>
      </c>
      <c r="B39" s="154" t="s">
        <v>1792</v>
      </c>
      <c r="C39" s="54" t="s">
        <v>1867</v>
      </c>
      <c r="D39" s="325">
        <f t="shared" si="5"/>
        <v>1945.0101832993887</v>
      </c>
      <c r="E39" s="176">
        <v>44355</v>
      </c>
      <c r="F39" s="175">
        <v>0.49</v>
      </c>
      <c r="G39" s="154">
        <v>7.27</v>
      </c>
      <c r="H39" s="154">
        <v>19.64</v>
      </c>
      <c r="I39" s="154">
        <v>3.82</v>
      </c>
      <c r="J39" s="155">
        <f t="shared" si="9"/>
        <v>1.8717999999999999</v>
      </c>
      <c r="K39" s="142">
        <f>H39*10000*7000/100000000</f>
        <v>13.747999999999999</v>
      </c>
      <c r="L39" s="143">
        <f>(K39-I39-(H39*3500/10000)-I39*0.08)</f>
        <v>2.7483999999999993</v>
      </c>
      <c r="M39" s="144">
        <f t="shared" si="10"/>
        <v>0.19991271457666565</v>
      </c>
      <c r="N39" s="54" t="s">
        <v>1870</v>
      </c>
      <c r="O39" s="68" t="s">
        <v>1869</v>
      </c>
      <c r="P39" s="154">
        <v>115.692457</v>
      </c>
      <c r="Q39" s="154">
        <v>34.372357999999998</v>
      </c>
    </row>
    <row r="40" spans="1:17" x14ac:dyDescent="0.2">
      <c r="A40" s="154" t="s">
        <v>416</v>
      </c>
      <c r="B40" s="154" t="s">
        <v>1834</v>
      </c>
      <c r="C40" s="54" t="s">
        <v>1853</v>
      </c>
      <c r="D40" s="325">
        <f t="shared" si="5"/>
        <v>8383.3407971339002</v>
      </c>
      <c r="E40" s="176">
        <v>44356</v>
      </c>
      <c r="F40" s="175">
        <v>0.3</v>
      </c>
      <c r="G40" s="154">
        <v>9.52</v>
      </c>
      <c r="H40" s="154">
        <v>22.33</v>
      </c>
      <c r="I40" s="154">
        <v>18.72</v>
      </c>
      <c r="J40" s="155">
        <f t="shared" si="9"/>
        <v>5.6159999999999997</v>
      </c>
      <c r="K40" s="142">
        <f>H40*10000*16000/100000000</f>
        <v>35.727999999999994</v>
      </c>
      <c r="L40" s="143">
        <f>(K40-I40-(H40*4500/10000)-I40*0.08)</f>
        <v>5.4618999999999964</v>
      </c>
      <c r="M40" s="144">
        <f t="shared" si="10"/>
        <v>0.15287449619346163</v>
      </c>
      <c r="N40" s="54" t="s">
        <v>1857</v>
      </c>
      <c r="O40" s="68" t="s">
        <v>1856</v>
      </c>
      <c r="P40" s="154">
        <v>113.10929299999999</v>
      </c>
      <c r="Q40" s="154">
        <v>22.931591000000001</v>
      </c>
    </row>
    <row r="41" spans="1:17" ht="28.5" x14ac:dyDescent="0.2">
      <c r="A41" s="154" t="s">
        <v>1835</v>
      </c>
      <c r="B41" s="154" t="s">
        <v>1859</v>
      </c>
      <c r="C41" s="54" t="s">
        <v>1858</v>
      </c>
      <c r="D41" s="325">
        <f t="shared" si="5"/>
        <v>2921.1469534050179</v>
      </c>
      <c r="E41" s="176">
        <v>44357</v>
      </c>
      <c r="F41" s="175">
        <v>0.41249999999999998</v>
      </c>
      <c r="G41" s="154">
        <v>9.5</v>
      </c>
      <c r="H41" s="154">
        <v>44.64</v>
      </c>
      <c r="I41" s="154">
        <v>13.04</v>
      </c>
      <c r="J41" s="155">
        <f t="shared" si="9"/>
        <v>5.3789999999999996</v>
      </c>
      <c r="K41" s="142">
        <f>H41*10000*11000/100000000</f>
        <v>49.103999999999999</v>
      </c>
      <c r="L41" s="143">
        <f>(K41-I41-(H41*4000/10000)-I41*0.08)</f>
        <v>17.1648</v>
      </c>
      <c r="M41" s="144">
        <f t="shared" si="10"/>
        <v>0.34956011730205278</v>
      </c>
      <c r="N41" s="54" t="s">
        <v>1860</v>
      </c>
      <c r="O41" s="68" t="s">
        <v>1861</v>
      </c>
      <c r="P41" s="154">
        <v>105.75406599999999</v>
      </c>
      <c r="Q41" s="154">
        <v>34.584321000000003</v>
      </c>
    </row>
    <row r="42" spans="1:17" x14ac:dyDescent="0.2">
      <c r="A42" s="154" t="s">
        <v>1851</v>
      </c>
      <c r="B42" s="154" t="s">
        <v>1838</v>
      </c>
      <c r="C42" s="54" t="s">
        <v>1877</v>
      </c>
      <c r="D42" s="325">
        <f>I42/H42*10000</f>
        <v>1900.0657462195925</v>
      </c>
      <c r="E42" s="176">
        <v>44358</v>
      </c>
      <c r="F42" s="175">
        <v>0.22950000000000001</v>
      </c>
      <c r="G42" s="154">
        <v>5.07</v>
      </c>
      <c r="H42" s="154">
        <v>15.21</v>
      </c>
      <c r="I42" s="154">
        <v>2.89</v>
      </c>
      <c r="J42" s="155">
        <f t="shared" si="9"/>
        <v>0.66325500000000004</v>
      </c>
      <c r="K42" s="142">
        <f>H42*10000*10000/100000000</f>
        <v>15.21</v>
      </c>
      <c r="L42" s="143">
        <f>(K42-I42-(H42*4500/10000)-I42*0.08)</f>
        <v>5.2443</v>
      </c>
      <c r="M42" s="144">
        <f t="shared" si="10"/>
        <v>0.344792899408284</v>
      </c>
      <c r="N42" s="54" t="s">
        <v>1878</v>
      </c>
      <c r="O42" s="68" t="s">
        <v>1879</v>
      </c>
      <c r="P42" s="154">
        <v>100.826714</v>
      </c>
      <c r="Q42" s="154">
        <v>22.014811000000002</v>
      </c>
    </row>
    <row r="43" spans="1:17" ht="57" x14ac:dyDescent="0.2">
      <c r="A43" s="154" t="s">
        <v>1938</v>
      </c>
      <c r="B43" s="154" t="s">
        <v>1939</v>
      </c>
      <c r="C43" s="54" t="s">
        <v>1940</v>
      </c>
      <c r="D43" s="325">
        <f>I43/H43*10000</f>
        <v>10134.128166915052</v>
      </c>
      <c r="E43" s="176">
        <v>44378</v>
      </c>
      <c r="F43" s="175">
        <v>0.34</v>
      </c>
      <c r="G43" s="154">
        <v>3.05</v>
      </c>
      <c r="H43" s="154">
        <v>6.71</v>
      </c>
      <c r="I43" s="154">
        <v>6.8</v>
      </c>
      <c r="J43" s="155">
        <f t="shared" si="9"/>
        <v>2.3120000000000003</v>
      </c>
      <c r="K43" s="142"/>
      <c r="L43" s="143"/>
      <c r="M43" s="144"/>
      <c r="N43" s="54" t="s">
        <v>1941</v>
      </c>
      <c r="O43" s="154"/>
      <c r="P43" s="154">
        <v>120.998176</v>
      </c>
      <c r="Q43" s="154">
        <v>28.112670000000001</v>
      </c>
    </row>
    <row r="44" spans="1:17" x14ac:dyDescent="0.2">
      <c r="A44" s="154"/>
      <c r="B44" s="154"/>
      <c r="C44" s="54"/>
      <c r="D44" s="325"/>
      <c r="E44" s="176"/>
      <c r="F44" s="175"/>
      <c r="G44" s="154"/>
      <c r="H44" s="154"/>
      <c r="I44" s="154"/>
      <c r="J44" s="155"/>
      <c r="K44" s="142"/>
      <c r="L44" s="142"/>
      <c r="M44" s="144"/>
      <c r="N44" s="54"/>
      <c r="O44" s="154"/>
      <c r="P44" s="154"/>
      <c r="Q44" s="154"/>
    </row>
    <row r="45" spans="1:17" x14ac:dyDescent="0.2">
      <c r="A45" s="154"/>
      <c r="B45" s="154"/>
      <c r="C45" s="54"/>
      <c r="D45" s="325"/>
      <c r="E45" s="176"/>
      <c r="F45" s="175"/>
      <c r="G45" s="154"/>
      <c r="H45" s="154"/>
      <c r="I45" s="154"/>
      <c r="J45" s="155"/>
      <c r="K45" s="142"/>
      <c r="L45" s="143"/>
      <c r="M45" s="144"/>
      <c r="N45" s="54"/>
      <c r="O45" s="154"/>
      <c r="P45" s="154"/>
      <c r="Q45" s="154"/>
    </row>
    <row r="46" spans="1:17" x14ac:dyDescent="0.2">
      <c r="A46" s="154"/>
      <c r="B46" s="154"/>
      <c r="C46" s="54"/>
      <c r="D46" s="325"/>
      <c r="E46" s="176"/>
      <c r="F46" s="175"/>
      <c r="G46" s="154"/>
      <c r="H46" s="154"/>
      <c r="I46" s="154"/>
      <c r="J46" s="155"/>
      <c r="K46" s="142"/>
      <c r="L46" s="143"/>
      <c r="M46" s="144"/>
      <c r="N46" s="54"/>
      <c r="O46" s="154"/>
      <c r="P46" s="154"/>
      <c r="Q46" s="154"/>
    </row>
    <row r="49" spans="7:12" x14ac:dyDescent="0.2">
      <c r="J49" s="56"/>
    </row>
    <row r="50" spans="7:12" x14ac:dyDescent="0.2">
      <c r="H50" s="56">
        <f>SUM(H2:H43)</f>
        <v>706.63000000000011</v>
      </c>
      <c r="I50" s="56">
        <f>SUM(I2:I43)</f>
        <v>296.32000000000005</v>
      </c>
      <c r="J50" s="56">
        <f>SUM(J2:J43)</f>
        <v>124.972865</v>
      </c>
      <c r="K50" s="56">
        <f>SUM(K2:K42)</f>
        <v>840.63976200000025</v>
      </c>
      <c r="L50" s="56">
        <f>SUM(L2:L42)</f>
        <v>246.98566199999999</v>
      </c>
    </row>
    <row r="51" spans="7:12" x14ac:dyDescent="0.2">
      <c r="I51">
        <f>I50/H50*10000</f>
        <v>4193.4251305492262</v>
      </c>
      <c r="K51">
        <f>K50/H50</f>
        <v>1.1896462957983671</v>
      </c>
    </row>
    <row r="53" spans="7:12" x14ac:dyDescent="0.2">
      <c r="H53">
        <f>1200*4000</f>
        <v>4800000</v>
      </c>
    </row>
    <row r="54" spans="7:12" x14ac:dyDescent="0.2">
      <c r="H54">
        <f>1900*14000/10000</f>
        <v>2660</v>
      </c>
    </row>
    <row r="55" spans="7:12" x14ac:dyDescent="0.2">
      <c r="G55">
        <f>2200*1.1</f>
        <v>2420</v>
      </c>
      <c r="H55">
        <f>2400*1.1</f>
        <v>2640</v>
      </c>
    </row>
    <row r="56" spans="7:12" x14ac:dyDescent="0.2">
      <c r="H56">
        <f>H55/14000*10000</f>
        <v>1885.7142857142858</v>
      </c>
    </row>
  </sheetData>
  <phoneticPr fontId="5" type="noConversion"/>
  <hyperlinks>
    <hyperlink ref="O14" r:id="rId1" xr:uid="{4D9DDE43-B21E-4628-9138-03A9FF8CEAE1}"/>
    <hyperlink ref="O27" r:id="rId2" xr:uid="{03E394A1-56D3-4E0A-B059-57B36FC83F61}"/>
    <hyperlink ref="O36" r:id="rId3" xr:uid="{02EC4742-246A-43A8-AC7A-24B20A883DD6}"/>
    <hyperlink ref="O40" r:id="rId4" xr:uid="{C3F8BB66-9D49-4A4D-BB41-60D2F315DDF7}"/>
    <hyperlink ref="O41" r:id="rId5" xr:uid="{D04ADF83-EA2E-4B37-993E-5369770578E5}"/>
    <hyperlink ref="O35" r:id="rId6" xr:uid="{7A7591D4-6931-4750-983B-53E14F518EB0}"/>
    <hyperlink ref="O37" r:id="rId7" xr:uid="{094A22C7-37BD-460F-88C2-112A66977869}"/>
    <hyperlink ref="O39" r:id="rId8" xr:uid="{671F663D-A799-4618-BE36-EBBE4EADDF93}"/>
    <hyperlink ref="O34" r:id="rId9" xr:uid="{18A00FEF-75C1-46A0-AB61-9EBD78864D26}"/>
    <hyperlink ref="O42" r:id="rId10" xr:uid="{6BBB1C4E-0850-49DB-925D-5CA9BB4B7B75}"/>
    <hyperlink ref="O38" r:id="rId11" xr:uid="{16A8B329-76C9-4E75-9B84-43AF3835B699}"/>
  </hyperlinks>
  <pageMargins left="0.7" right="0.7" top="0.75" bottom="0.75" header="0.3" footer="0.3"/>
  <pageSetup paperSize="9" orientation="portrait" horizontalDpi="1200" verticalDpi="1200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73BA-7E29-4929-ABEF-019D5D905450}">
  <dimension ref="A1:K12"/>
  <sheetViews>
    <sheetView workbookViewId="0">
      <selection activeCell="K20" sqref="K20"/>
    </sheetView>
  </sheetViews>
  <sheetFormatPr defaultRowHeight="14.25" x14ac:dyDescent="0.2"/>
  <sheetData>
    <row r="1" spans="1:11" ht="40.5" x14ac:dyDescent="0.2">
      <c r="A1" s="348" t="s">
        <v>349</v>
      </c>
      <c r="B1" s="348" t="s">
        <v>1826</v>
      </c>
      <c r="C1" s="348" t="s">
        <v>1105</v>
      </c>
      <c r="D1" s="348" t="s">
        <v>1839</v>
      </c>
      <c r="E1" s="348" t="s">
        <v>529</v>
      </c>
      <c r="F1" s="347" t="s">
        <v>1840</v>
      </c>
      <c r="G1" s="349" t="s">
        <v>1850</v>
      </c>
      <c r="H1" s="349" t="s">
        <v>1841</v>
      </c>
      <c r="I1" s="349" t="s">
        <v>590</v>
      </c>
    </row>
    <row r="2" spans="1:11" ht="30" x14ac:dyDescent="0.2">
      <c r="A2" s="350" t="s">
        <v>1363</v>
      </c>
      <c r="B2" s="350" t="s">
        <v>1827</v>
      </c>
      <c r="C2" s="351" t="s">
        <v>1842</v>
      </c>
      <c r="D2" s="351"/>
      <c r="E2" s="351"/>
      <c r="F2" s="352">
        <v>0.1125</v>
      </c>
      <c r="G2" s="353">
        <v>2.83</v>
      </c>
      <c r="H2" s="353">
        <v>5.66</v>
      </c>
      <c r="I2" s="353">
        <v>3.18</v>
      </c>
    </row>
    <row r="3" spans="1:11" ht="30" x14ac:dyDescent="0.2">
      <c r="A3" s="350" t="s">
        <v>1363</v>
      </c>
      <c r="B3" s="350" t="s">
        <v>1827</v>
      </c>
      <c r="C3" s="351" t="s">
        <v>1843</v>
      </c>
      <c r="D3" s="351"/>
      <c r="E3" s="351"/>
      <c r="F3" s="352">
        <v>0.17249999999999999</v>
      </c>
      <c r="G3" s="353">
        <v>6.23</v>
      </c>
      <c r="H3" s="353">
        <v>12.47</v>
      </c>
      <c r="I3" s="353">
        <v>7.37</v>
      </c>
    </row>
    <row r="4" spans="1:11" ht="30" x14ac:dyDescent="0.2">
      <c r="A4" s="350" t="s">
        <v>350</v>
      </c>
      <c r="B4" s="350" t="s">
        <v>1785</v>
      </c>
      <c r="C4" s="351" t="s">
        <v>1844</v>
      </c>
      <c r="D4" s="351"/>
      <c r="E4" s="351"/>
      <c r="F4" s="352">
        <v>0.30599999999999999</v>
      </c>
      <c r="G4" s="353">
        <v>6.98</v>
      </c>
      <c r="H4" s="353">
        <v>13.96</v>
      </c>
      <c r="I4" s="353">
        <v>5.79</v>
      </c>
    </row>
    <row r="5" spans="1:11" ht="54" x14ac:dyDescent="0.2">
      <c r="A5" s="350" t="s">
        <v>406</v>
      </c>
      <c r="B5" s="350" t="s">
        <v>1829</v>
      </c>
      <c r="C5" s="354" t="s">
        <v>1828</v>
      </c>
      <c r="D5" s="354"/>
      <c r="E5" s="354"/>
      <c r="F5" s="355">
        <v>0.25</v>
      </c>
      <c r="G5" s="353">
        <v>12.9</v>
      </c>
      <c r="H5" s="353">
        <v>24.4</v>
      </c>
      <c r="I5" s="353">
        <v>16.8</v>
      </c>
    </row>
    <row r="6" spans="1:11" ht="54" x14ac:dyDescent="0.2">
      <c r="A6" s="350" t="s">
        <v>1830</v>
      </c>
      <c r="B6" s="350" t="s">
        <v>1831</v>
      </c>
      <c r="C6" s="356" t="s">
        <v>1845</v>
      </c>
      <c r="D6" s="356"/>
      <c r="E6" s="356"/>
      <c r="F6" s="355">
        <v>0.34</v>
      </c>
      <c r="G6" s="353">
        <v>10.42</v>
      </c>
      <c r="H6" s="353">
        <v>29.39</v>
      </c>
      <c r="I6" s="353">
        <v>45.86</v>
      </c>
      <c r="K6">
        <f>2500*0.4</f>
        <v>1000</v>
      </c>
    </row>
    <row r="7" spans="1:11" ht="27" x14ac:dyDescent="0.2">
      <c r="A7" s="350" t="s">
        <v>1830</v>
      </c>
      <c r="B7" s="350" t="s">
        <v>1831</v>
      </c>
      <c r="C7" s="356" t="s">
        <v>1846</v>
      </c>
      <c r="D7" s="356"/>
      <c r="E7" s="356"/>
      <c r="F7" s="355">
        <v>0.5</v>
      </c>
      <c r="G7" s="353">
        <v>1.36</v>
      </c>
      <c r="H7" s="353">
        <v>3</v>
      </c>
      <c r="I7" s="353">
        <v>5.4</v>
      </c>
    </row>
    <row r="8" spans="1:11" ht="27" x14ac:dyDescent="0.2">
      <c r="A8" s="350" t="s">
        <v>359</v>
      </c>
      <c r="B8" s="350" t="s">
        <v>1833</v>
      </c>
      <c r="C8" s="354" t="s">
        <v>1832</v>
      </c>
      <c r="D8" s="354"/>
      <c r="E8" s="354"/>
      <c r="F8" s="355">
        <v>0.21</v>
      </c>
      <c r="G8" s="353">
        <v>2.98</v>
      </c>
      <c r="H8" s="353">
        <v>5.96</v>
      </c>
      <c r="I8" s="353">
        <v>2.63</v>
      </c>
    </row>
    <row r="9" spans="1:11" ht="30" x14ac:dyDescent="0.2">
      <c r="A9" s="350" t="s">
        <v>420</v>
      </c>
      <c r="B9" s="350" t="s">
        <v>1792</v>
      </c>
      <c r="C9" s="351" t="s">
        <v>1847</v>
      </c>
      <c r="D9" s="351"/>
      <c r="E9" s="351"/>
      <c r="F9" s="355">
        <v>0.49</v>
      </c>
      <c r="G9" s="353">
        <v>7.27</v>
      </c>
      <c r="H9" s="353">
        <v>19.64</v>
      </c>
      <c r="I9" s="353">
        <v>3.82</v>
      </c>
    </row>
    <row r="10" spans="1:11" ht="60" x14ac:dyDescent="0.2">
      <c r="A10" s="350" t="s">
        <v>416</v>
      </c>
      <c r="B10" s="350" t="s">
        <v>1834</v>
      </c>
      <c r="C10" s="351" t="s">
        <v>1848</v>
      </c>
      <c r="D10" s="351"/>
      <c r="E10" s="351"/>
      <c r="F10" s="355">
        <v>0.3</v>
      </c>
      <c r="G10" s="353">
        <v>9.52</v>
      </c>
      <c r="H10" s="353">
        <v>22.33</v>
      </c>
      <c r="I10" s="353">
        <v>18.72</v>
      </c>
    </row>
    <row r="11" spans="1:11" ht="30" x14ac:dyDescent="0.2">
      <c r="A11" s="350" t="s">
        <v>1835</v>
      </c>
      <c r="B11" s="350" t="s">
        <v>1836</v>
      </c>
      <c r="C11" s="351" t="s">
        <v>1849</v>
      </c>
      <c r="D11" s="351"/>
      <c r="E11" s="351"/>
      <c r="F11" s="352">
        <v>0.41249999999999998</v>
      </c>
      <c r="G11" s="353">
        <v>9.5</v>
      </c>
      <c r="H11" s="353">
        <v>44.64</v>
      </c>
      <c r="I11" s="353">
        <v>13.04</v>
      </c>
    </row>
    <row r="12" spans="1:11" ht="27" x14ac:dyDescent="0.2">
      <c r="A12" s="357" t="s">
        <v>1851</v>
      </c>
      <c r="B12" s="350" t="s">
        <v>1838</v>
      </c>
      <c r="C12" s="354" t="s">
        <v>1837</v>
      </c>
      <c r="D12" s="354"/>
      <c r="E12" s="354"/>
      <c r="F12" s="352">
        <v>0.22950000000000001</v>
      </c>
      <c r="G12" s="353">
        <v>5.07</v>
      </c>
      <c r="H12" s="353">
        <v>15.21</v>
      </c>
      <c r="I12" s="353">
        <v>2.89</v>
      </c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zonina2020ori</vt:lpstr>
      <vt:lpstr>毛利率算法</vt:lpstr>
      <vt:lpstr>zonia2016</vt:lpstr>
      <vt:lpstr>zonia2017</vt:lpstr>
      <vt:lpstr>zonia2018</vt:lpstr>
      <vt:lpstr>zonia2019</vt:lpstr>
      <vt:lpstr>zonia2020</vt:lpstr>
      <vt:lpstr>zonia2021</vt:lpstr>
      <vt:lpstr>Sheet1</vt:lpstr>
      <vt:lpstr>zonia2017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2021-08-31T19:12:02Z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ed068df2-3062-4116-a87a-17b52bd3c38c</vt:lpwstr>
  </property>
</Properties>
</file>