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E:\kim\财报分析\"/>
    </mc:Choice>
  </mc:AlternateContent>
  <xr:revisionPtr revIDLastSave="0" documentId="13_ncr:1_{0F321DF0-846D-4494-873C-796CC548A1FC}" xr6:coauthVersionLast="45" xr6:coauthVersionMax="45" xr10:uidLastSave="{00000000-0000-0000-0000-000000000000}"/>
  <bookViews>
    <workbookView xWindow="-120" yWindow="-120" windowWidth="29040" windowHeight="15840" tabRatio="819" firstSheet="4" activeTab="21" xr2:uid="{00000000-000D-0000-FFFF-FFFF00000000}"/>
  </bookViews>
  <sheets>
    <sheet name="全国房地产" sheetId="2" r:id="rId1"/>
    <sheet name="中梁控股" sheetId="28" r:id="rId2"/>
    <sheet name="中南建设" sheetId="15" r:id="rId3"/>
    <sheet name="美的置业" sheetId="1" r:id="rId4"/>
    <sheet name="绿城中国" sheetId="5" r:id="rId5"/>
    <sheet name="碧桂园" sheetId="7" r:id="rId6"/>
    <sheet name="新城控股" sheetId="13" r:id="rId7"/>
    <sheet name="中国奥园" sheetId="19" r:id="rId8"/>
    <sheet name="荣盛发展" sheetId="23" r:id="rId9"/>
    <sheet name="中国恒大" sheetId="20" r:id="rId10"/>
    <sheet name="融创中国" sheetId="21" r:id="rId11"/>
    <sheet name="万科" sheetId="12" r:id="rId12"/>
    <sheet name="保利地产" sheetId="24" r:id="rId13"/>
    <sheet name="龙湖地产" sheetId="10" r:id="rId14"/>
    <sheet name="旭辉控股" sheetId="8" r:id="rId15"/>
    <sheet name="阳光城" sheetId="16" r:id="rId16"/>
    <sheet name="金地集团" sheetId="25" r:id="rId17"/>
    <sheet name="华侨城" sheetId="18" r:id="rId18"/>
    <sheet name="金科股份" sheetId="17" r:id="rId19"/>
    <sheet name="蓝光发展" sheetId="26" r:id="rId20"/>
    <sheet name="备注" sheetId="27" r:id="rId21"/>
    <sheet name="通用模板 " sheetId="30" r:id="rId2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7" i="30" l="1"/>
  <c r="K6" i="30"/>
  <c r="J6" i="30"/>
  <c r="I6" i="30"/>
  <c r="H6" i="30"/>
  <c r="F6" i="30"/>
  <c r="E6" i="30"/>
  <c r="D6" i="30"/>
  <c r="C6" i="30"/>
  <c r="B6" i="30"/>
  <c r="G40" i="30"/>
  <c r="G6" i="30" s="1"/>
  <c r="K18" i="30"/>
  <c r="J18" i="30"/>
  <c r="I18" i="30"/>
  <c r="H18" i="30"/>
  <c r="G18" i="30"/>
  <c r="F18" i="30"/>
  <c r="E18" i="30"/>
  <c r="D18" i="30"/>
  <c r="C18" i="30"/>
  <c r="B18" i="30"/>
  <c r="J17" i="30"/>
  <c r="I17" i="30"/>
  <c r="H17" i="30"/>
  <c r="G17" i="30"/>
  <c r="F17" i="30"/>
  <c r="E17" i="30"/>
  <c r="D17" i="30"/>
  <c r="C17" i="30"/>
  <c r="B17" i="30"/>
  <c r="K12" i="30"/>
  <c r="J12" i="30"/>
  <c r="I12" i="30"/>
  <c r="H12" i="30"/>
  <c r="G12" i="30"/>
  <c r="F12" i="30"/>
  <c r="E12" i="30"/>
  <c r="D12" i="30"/>
  <c r="C12" i="30"/>
  <c r="B12" i="30"/>
  <c r="F16" i="30"/>
  <c r="E16" i="30"/>
  <c r="D16" i="30"/>
  <c r="C16" i="30"/>
  <c r="B16" i="30"/>
  <c r="C8" i="17" l="1"/>
  <c r="D8" i="17"/>
  <c r="E8" i="17"/>
  <c r="B8" i="17"/>
  <c r="F24" i="15" l="1"/>
  <c r="C12" i="28"/>
  <c r="D12" i="28"/>
  <c r="F28" i="15" l="1"/>
  <c r="F29" i="15"/>
  <c r="E28" i="15"/>
  <c r="E24" i="15"/>
  <c r="E7" i="15" l="1"/>
  <c r="F4" i="24" l="1"/>
  <c r="C4" i="24"/>
  <c r="D4" i="24"/>
  <c r="E4" i="24"/>
  <c r="D20" i="24"/>
  <c r="E20" i="24"/>
  <c r="F20" i="24"/>
  <c r="C20" i="24"/>
  <c r="C31" i="25" l="1"/>
  <c r="D31" i="25"/>
  <c r="E31" i="25"/>
  <c r="F31" i="25"/>
  <c r="B31" i="25"/>
  <c r="C28" i="25"/>
  <c r="D28" i="25"/>
  <c r="E28" i="25"/>
  <c r="F28" i="25"/>
  <c r="B28" i="25"/>
  <c r="B25" i="16" l="1"/>
  <c r="C25" i="16"/>
  <c r="D25" i="16"/>
  <c r="E25" i="16"/>
  <c r="C30" i="16"/>
  <c r="C31" i="16"/>
  <c r="C24" i="15"/>
  <c r="D24" i="15"/>
  <c r="B24" i="15"/>
  <c r="C26" i="18" l="1"/>
  <c r="D26" i="18"/>
  <c r="E26" i="18"/>
  <c r="B26" i="18"/>
  <c r="E29" i="18"/>
  <c r="D29" i="18" l="1"/>
  <c r="D30" i="18" s="1"/>
  <c r="E30" i="18"/>
  <c r="C29" i="18"/>
  <c r="C30" i="18" s="1"/>
  <c r="D48" i="12"/>
  <c r="D49" i="12" s="1"/>
  <c r="E48" i="12"/>
  <c r="E49" i="12" s="1"/>
  <c r="F48" i="12"/>
  <c r="F49" i="12" s="1"/>
  <c r="C48" i="12"/>
  <c r="C49" i="12" s="1"/>
  <c r="D28" i="15"/>
  <c r="D29" i="15" s="1"/>
  <c r="E29" i="15"/>
  <c r="C28" i="15"/>
  <c r="C29" i="15" s="1"/>
  <c r="D30" i="16"/>
  <c r="D31" i="16" s="1"/>
  <c r="E30" i="16"/>
  <c r="E31" i="16" s="1"/>
  <c r="F30" i="16"/>
  <c r="F31" i="16" s="1"/>
  <c r="F25" i="16" s="1"/>
  <c r="C8" i="26" l="1"/>
  <c r="D8" i="26"/>
  <c r="E8" i="26"/>
  <c r="F8" i="26"/>
  <c r="B8" i="26"/>
  <c r="D45" i="24" l="1"/>
  <c r="D13" i="7" l="1"/>
  <c r="F10" i="8"/>
  <c r="G23" i="8"/>
  <c r="C9" i="21"/>
  <c r="D9" i="21"/>
  <c r="E9" i="21"/>
  <c r="B7" i="21"/>
  <c r="B9" i="21" s="1"/>
  <c r="D35" i="21"/>
  <c r="D34" i="21"/>
  <c r="D33" i="21"/>
  <c r="D11" i="20" l="1"/>
  <c r="E11" i="20"/>
  <c r="C11" i="20"/>
  <c r="C13" i="20"/>
  <c r="B13" i="20"/>
  <c r="B11" i="20"/>
  <c r="F22" i="20"/>
  <c r="D13" i="20"/>
  <c r="E13" i="20"/>
  <c r="C30" i="7" l="1"/>
  <c r="D30" i="7"/>
  <c r="D28" i="7"/>
  <c r="D12" i="7"/>
  <c r="E6" i="7"/>
  <c r="C15" i="12" l="1"/>
  <c r="D15" i="12"/>
  <c r="E15" i="12"/>
  <c r="F15" i="12"/>
  <c r="B15" i="12"/>
  <c r="B24" i="1"/>
  <c r="B14" i="1"/>
  <c r="B13" i="1"/>
  <c r="E6" i="1"/>
  <c r="C9" i="5" l="1"/>
  <c r="E9" i="5"/>
  <c r="D8" i="5"/>
  <c r="D9" i="5" s="1"/>
  <c r="E6" i="5"/>
  <c r="E12" i="18"/>
  <c r="E5" i="19"/>
  <c r="D5" i="19"/>
  <c r="E11" i="19"/>
  <c r="D12" i="18" l="1"/>
  <c r="D10" i="18"/>
  <c r="E5" i="18"/>
  <c r="D24" i="18"/>
  <c r="D3" i="18"/>
  <c r="D19" i="16" l="1"/>
  <c r="E19" i="16"/>
  <c r="C24" i="13" l="1"/>
  <c r="D24" i="13"/>
  <c r="E24" i="13" l="1"/>
  <c r="C3" i="2" l="1"/>
  <c r="B3" i="2"/>
</calcChain>
</file>

<file path=xl/sharedStrings.xml><?xml version="1.0" encoding="utf-8"?>
<sst xmlns="http://schemas.openxmlformats.org/spreadsheetml/2006/main" count="814" uniqueCount="494">
  <si>
    <t>年份</t>
    <phoneticPr fontId="1" type="noConversion"/>
  </si>
  <si>
    <t>2020年</t>
    <phoneticPr fontId="1" type="noConversion"/>
  </si>
  <si>
    <t>2019年</t>
    <phoneticPr fontId="1" type="noConversion"/>
  </si>
  <si>
    <t>2018年</t>
    <phoneticPr fontId="1" type="noConversion"/>
  </si>
  <si>
    <t>2017年</t>
    <phoneticPr fontId="1" type="noConversion"/>
  </si>
  <si>
    <t>毛利率</t>
    <phoneticPr fontId="1" type="noConversion"/>
  </si>
  <si>
    <t>净利润</t>
    <phoneticPr fontId="1" type="noConversion"/>
  </si>
  <si>
    <t>短期借贷</t>
    <phoneticPr fontId="1" type="noConversion"/>
  </si>
  <si>
    <t>长期借贷</t>
    <phoneticPr fontId="1" type="noConversion"/>
  </si>
  <si>
    <t>股权回报率</t>
    <phoneticPr fontId="1" type="noConversion"/>
  </si>
  <si>
    <t>合约销售额</t>
    <phoneticPr fontId="1" type="noConversion"/>
  </si>
  <si>
    <t>合约销售面积（万㎡）</t>
    <phoneticPr fontId="1" type="noConversion"/>
  </si>
  <si>
    <t>新增土储（万㎡）</t>
    <phoneticPr fontId="1" type="noConversion"/>
  </si>
  <si>
    <t>收购权益土储（万㎡）</t>
    <phoneticPr fontId="1" type="noConversion"/>
  </si>
  <si>
    <t>总土储（万㎡）</t>
    <phoneticPr fontId="1" type="noConversion"/>
  </si>
  <si>
    <t>项目个数</t>
    <phoneticPr fontId="1" type="noConversion"/>
  </si>
  <si>
    <t>合联营项目个数</t>
    <phoneticPr fontId="1" type="noConversion"/>
  </si>
  <si>
    <t>融资成本</t>
    <phoneticPr fontId="1" type="noConversion"/>
  </si>
  <si>
    <t>净负债率</t>
    <phoneticPr fontId="1" type="noConversion"/>
  </si>
  <si>
    <t>楼面价（元/㎡）</t>
    <phoneticPr fontId="1" type="noConversion"/>
  </si>
  <si>
    <t>覆盖省份及城市</t>
    <phoneticPr fontId="1" type="noConversion"/>
  </si>
  <si>
    <t>18省59城</t>
    <phoneticPr fontId="1" type="noConversion"/>
  </si>
  <si>
    <t>15省48城</t>
    <phoneticPr fontId="1" type="noConversion"/>
  </si>
  <si>
    <t>销售均价（元/㎡）</t>
    <phoneticPr fontId="1" type="noConversion"/>
  </si>
  <si>
    <t>63城</t>
    <phoneticPr fontId="1" type="noConversion"/>
  </si>
  <si>
    <t>美的置业</t>
    <phoneticPr fontId="1" type="noConversion"/>
  </si>
  <si>
    <t>绿城中国</t>
    <phoneticPr fontId="1" type="noConversion"/>
  </si>
  <si>
    <t>本公司股东应占利润</t>
    <phoneticPr fontId="1" type="noConversion"/>
  </si>
  <si>
    <t>预计新增可售金额（亿元）</t>
    <phoneticPr fontId="1" type="noConversion"/>
  </si>
  <si>
    <t>新增楼面价（元/㎡）</t>
    <phoneticPr fontId="1" type="noConversion"/>
  </si>
  <si>
    <t>新增项目数量</t>
    <phoneticPr fontId="1" type="noConversion"/>
  </si>
  <si>
    <t>权益土储（万㎡）</t>
    <phoneticPr fontId="1" type="noConversion"/>
  </si>
  <si>
    <t>总可售面积</t>
    <phoneticPr fontId="1" type="noConversion"/>
  </si>
  <si>
    <t>权益可售面积</t>
    <phoneticPr fontId="1" type="noConversion"/>
  </si>
  <si>
    <t>楼面价</t>
    <phoneticPr fontId="1" type="noConversion"/>
  </si>
  <si>
    <t>总借贷</t>
    <phoneticPr fontId="1" type="noConversion"/>
  </si>
  <si>
    <t>本公司股东应占权益</t>
    <phoneticPr fontId="1" type="noConversion"/>
  </si>
  <si>
    <t>去化率</t>
    <phoneticPr fontId="1" type="noConversion"/>
  </si>
  <si>
    <t>全国商品房销售金额（万亿元）</t>
    <phoneticPr fontId="1" type="noConversion"/>
  </si>
  <si>
    <t>全国商品房销售面积（亿㎡）</t>
    <phoneticPr fontId="1" type="noConversion"/>
  </si>
  <si>
    <t>集团自投项目合同销售额</t>
    <phoneticPr fontId="1" type="noConversion"/>
  </si>
  <si>
    <t>自投项目销售均价（元/㎡）</t>
    <phoneticPr fontId="1" type="noConversion"/>
  </si>
  <si>
    <t>其中权益金额</t>
    <phoneticPr fontId="1" type="noConversion"/>
  </si>
  <si>
    <t>利息支出</t>
    <phoneticPr fontId="1" type="noConversion"/>
  </si>
  <si>
    <t>利息资本化</t>
    <phoneticPr fontId="1" type="noConversion"/>
  </si>
  <si>
    <t>股息率</t>
    <phoneticPr fontId="1" type="noConversion"/>
  </si>
  <si>
    <t>每股股息（建议）</t>
    <phoneticPr fontId="1" type="noConversion"/>
  </si>
  <si>
    <t>碧桂园</t>
    <phoneticPr fontId="1" type="noConversion"/>
  </si>
  <si>
    <t>回款率</t>
    <phoneticPr fontId="1" type="noConversion"/>
  </si>
  <si>
    <t>权益合同销售回款</t>
    <phoneticPr fontId="1" type="noConversion"/>
  </si>
  <si>
    <t>净借贷比率</t>
    <phoneticPr fontId="1" type="noConversion"/>
  </si>
  <si>
    <t>权益土储（百万㎡）</t>
    <phoneticPr fontId="1" type="noConversion"/>
  </si>
  <si>
    <t>旭辉控股</t>
    <phoneticPr fontId="1" type="noConversion"/>
  </si>
  <si>
    <t>核心平均股本回报率</t>
    <phoneticPr fontId="1" type="noConversion"/>
  </si>
  <si>
    <t>核心净利润率</t>
    <phoneticPr fontId="1" type="noConversion"/>
  </si>
  <si>
    <t>合同销售金额现金回款率</t>
    <phoneticPr fontId="1" type="noConversion"/>
  </si>
  <si>
    <t>90%+</t>
    <phoneticPr fontId="1" type="noConversion"/>
  </si>
  <si>
    <t>新增项目个数</t>
    <phoneticPr fontId="1" type="noConversion"/>
  </si>
  <si>
    <t>本集团应占土地出让金</t>
    <phoneticPr fontId="1" type="noConversion"/>
  </si>
  <si>
    <t>合约销售目标</t>
    <phoneticPr fontId="1" type="noConversion"/>
  </si>
  <si>
    <t>股东权益应占利润</t>
    <phoneticPr fontId="1" type="noConversion"/>
  </si>
  <si>
    <t>新增土储-合计（万㎡）</t>
    <phoneticPr fontId="1" type="noConversion"/>
  </si>
  <si>
    <t>新增土储-应占（万㎡）</t>
    <phoneticPr fontId="1" type="noConversion"/>
  </si>
  <si>
    <t>总土储-合计（万㎡）</t>
    <phoneticPr fontId="1" type="noConversion"/>
  </si>
  <si>
    <t>总土储-应占（万㎡）</t>
    <phoneticPr fontId="1" type="noConversion"/>
  </si>
  <si>
    <t>销售费用</t>
    <phoneticPr fontId="1" type="noConversion"/>
  </si>
  <si>
    <t>管理费用</t>
    <phoneticPr fontId="1" type="noConversion"/>
  </si>
  <si>
    <t>合联营产生的利润</t>
    <phoneticPr fontId="1" type="noConversion"/>
  </si>
  <si>
    <t>借款成本</t>
    <phoneticPr fontId="1" type="noConversion"/>
  </si>
  <si>
    <t>85%+</t>
    <phoneticPr fontId="1" type="noConversion"/>
  </si>
  <si>
    <t>龙湖历年主要财务指标</t>
  </si>
  <si>
    <t>2012年</t>
  </si>
  <si>
    <t>2013年</t>
  </si>
  <si>
    <t>2014年</t>
  </si>
  <si>
    <t>2015年</t>
  </si>
  <si>
    <t>2016年</t>
  </si>
  <si>
    <t>2017年</t>
  </si>
  <si>
    <t>2018年</t>
  </si>
  <si>
    <t>2019年</t>
  </si>
  <si>
    <t>2020年</t>
  </si>
  <si>
    <t>合同销售额（亿元）</t>
  </si>
  <si>
    <t>核心权益后利润率</t>
  </si>
  <si>
    <t>销售建面（万㎡）</t>
  </si>
  <si>
    <t>已售未结合同销售额（亿元）</t>
  </si>
  <si>
    <t>已售未结建面（万㎡）</t>
  </si>
  <si>
    <t>土地储备（万㎡）</t>
  </si>
  <si>
    <t>权益土储（万㎡）</t>
  </si>
  <si>
    <t>土储平均成本（元/㎡）</t>
  </si>
  <si>
    <t>新增土储建面（万㎡）</t>
  </si>
  <si>
    <t>新增土储权益面积（万㎡）</t>
  </si>
  <si>
    <t>平均溢价率</t>
  </si>
  <si>
    <t>新增土储平均成本（元/㎡）</t>
  </si>
  <si>
    <t>有息负债（亿元）</t>
  </si>
  <si>
    <t>平均借贷成本</t>
  </si>
  <si>
    <t>销售单价（元/㎡）</t>
    <phoneticPr fontId="1" type="noConversion"/>
  </si>
  <si>
    <t>本公司股本持有人应占溢利</t>
    <phoneticPr fontId="1" type="noConversion"/>
  </si>
  <si>
    <t>利息支出（亿元）</t>
    <phoneticPr fontId="1" type="noConversion"/>
  </si>
  <si>
    <t>利息资本化（亿元）</t>
    <phoneticPr fontId="1" type="noConversion"/>
  </si>
  <si>
    <t>分红占核心净利润比例</t>
    <phoneticPr fontId="1" type="noConversion"/>
  </si>
  <si>
    <t>物业发展业务结算毛利率</t>
    <phoneticPr fontId="1" type="noConversion"/>
  </si>
  <si>
    <t>销售费用（亿元）</t>
    <phoneticPr fontId="1" type="noConversion"/>
  </si>
  <si>
    <t>管理费用（亿元）</t>
    <phoneticPr fontId="1" type="noConversion"/>
  </si>
  <si>
    <t>万科历年财务指标</t>
    <phoneticPr fontId="1" type="noConversion"/>
  </si>
  <si>
    <t>新城控股财务指标</t>
    <phoneticPr fontId="1" type="noConversion"/>
  </si>
  <si>
    <t>土地储备（万㎡）</t>
    <phoneticPr fontId="1" type="noConversion"/>
  </si>
  <si>
    <t>合同销售额（亿元）</t>
    <phoneticPr fontId="1" type="noConversion"/>
  </si>
  <si>
    <t>销售面积（万㎡）</t>
    <phoneticPr fontId="1" type="noConversion"/>
  </si>
  <si>
    <t>新增土地储备（幅）</t>
    <phoneticPr fontId="1" type="noConversion"/>
  </si>
  <si>
    <t>新增建面（万㎡）</t>
    <phoneticPr fontId="1" type="noConversion"/>
  </si>
  <si>
    <t>新增平均楼面价（元/㎡）</t>
    <phoneticPr fontId="1" type="noConversion"/>
  </si>
  <si>
    <t>新增商业土储总建面（万㎡）</t>
    <phoneticPr fontId="1" type="noConversion"/>
  </si>
  <si>
    <t>吾悦广场总数量（座）</t>
    <phoneticPr fontId="1" type="noConversion"/>
  </si>
  <si>
    <t>新开业吾悦广场（座）</t>
    <phoneticPr fontId="1" type="noConversion"/>
  </si>
  <si>
    <t>吾悦广场实现商业运营总收入（含税租金收入，亿元）</t>
    <phoneticPr fontId="1" type="noConversion"/>
  </si>
  <si>
    <t>吾悦广场开业面积（万㎡）</t>
    <phoneticPr fontId="1" type="noConversion"/>
  </si>
  <si>
    <t>平均出租率</t>
    <phoneticPr fontId="1" type="noConversion"/>
  </si>
  <si>
    <t>客流总量（亿人次）</t>
    <phoneticPr fontId="1" type="noConversion"/>
  </si>
  <si>
    <t>销售总额（亿元）</t>
    <phoneticPr fontId="1" type="noConversion"/>
  </si>
  <si>
    <t>会员人数（万人）</t>
    <phoneticPr fontId="1" type="noConversion"/>
  </si>
  <si>
    <t>吾悦广场：</t>
    <phoneticPr fontId="1" type="noConversion"/>
  </si>
  <si>
    <t>房地产开发：</t>
    <phoneticPr fontId="1" type="noConversion"/>
  </si>
  <si>
    <t>归属于上市公司股东净资产</t>
    <phoneticPr fontId="1" type="noConversion"/>
  </si>
  <si>
    <t>剔除预收账款后的资产负债率</t>
    <phoneticPr fontId="1" type="noConversion"/>
  </si>
  <si>
    <t>现金短债比</t>
    <phoneticPr fontId="1" type="noConversion"/>
  </si>
  <si>
    <t>住宅销售毛利率</t>
    <phoneticPr fontId="1" type="noConversion"/>
  </si>
  <si>
    <t>综合体销售毛利率</t>
    <phoneticPr fontId="1" type="noConversion"/>
  </si>
  <si>
    <t>物业出租及管理毛利率</t>
    <phoneticPr fontId="1" type="noConversion"/>
  </si>
  <si>
    <t>结算金额（亿元）</t>
    <phoneticPr fontId="1" type="noConversion"/>
  </si>
  <si>
    <t>结算面积（万㎡）</t>
    <phoneticPr fontId="1" type="noConversion"/>
  </si>
  <si>
    <t>借款及债权利息支出</t>
    <phoneticPr fontId="1" type="noConversion"/>
  </si>
  <si>
    <t>合同负债内含融资成分利息支出</t>
    <phoneticPr fontId="1" type="noConversion"/>
  </si>
  <si>
    <t>土储分布城市个数</t>
    <phoneticPr fontId="1" type="noConversion"/>
  </si>
  <si>
    <t>中南历年主要财务指标</t>
  </si>
  <si>
    <t>分红占净利润比例</t>
  </si>
  <si>
    <t>结算毛利率</t>
  </si>
  <si>
    <t>销售单价（元/㎡）</t>
  </si>
  <si>
    <t>归属于上市公司股东净利润（亿元）</t>
    <phoneticPr fontId="1" type="noConversion"/>
  </si>
  <si>
    <t>归属于上市公司股东的净资产</t>
  </si>
  <si>
    <t>归属于上市公司股东的净资产</t>
    <phoneticPr fontId="1" type="noConversion"/>
  </si>
  <si>
    <t>2017年</t>
    <phoneticPr fontId="1" type="noConversion"/>
  </si>
  <si>
    <t>2018年</t>
    <phoneticPr fontId="1" type="noConversion"/>
  </si>
  <si>
    <t>2019年</t>
    <phoneticPr fontId="1" type="noConversion"/>
  </si>
  <si>
    <t>净负债率</t>
    <phoneticPr fontId="1" type="noConversion"/>
  </si>
  <si>
    <t>销售金额</t>
    <phoneticPr fontId="1" type="noConversion"/>
  </si>
  <si>
    <t>结算面积（万㎡）</t>
    <phoneticPr fontId="1" type="noConversion"/>
  </si>
  <si>
    <t>销售面积（万㎡）</t>
    <phoneticPr fontId="1" type="noConversion"/>
  </si>
  <si>
    <t>开发业务结算收入</t>
    <phoneticPr fontId="1" type="noConversion"/>
  </si>
  <si>
    <t>开发业务结算均价（元/㎡）</t>
    <phoneticPr fontId="1" type="noConversion"/>
  </si>
  <si>
    <t>已售资源未竣工结算-合同金额</t>
    <phoneticPr fontId="1" type="noConversion"/>
  </si>
  <si>
    <t>已售资源未竣工结算-面积（万㎡）</t>
    <phoneticPr fontId="1" type="noConversion"/>
  </si>
  <si>
    <t>开发项目新开工面积</t>
    <phoneticPr fontId="1" type="noConversion"/>
  </si>
  <si>
    <t>开发项目实现竣工面积</t>
    <phoneticPr fontId="1" type="noConversion"/>
  </si>
  <si>
    <t>新增项目数量</t>
    <phoneticPr fontId="1" type="noConversion"/>
  </si>
  <si>
    <t>新增项目规划建筑面积</t>
    <phoneticPr fontId="1" type="noConversion"/>
  </si>
  <si>
    <t>新增项目权益规划建筑面积</t>
    <phoneticPr fontId="1" type="noConversion"/>
  </si>
  <si>
    <t>新增项目权益地价总额</t>
    <phoneticPr fontId="1" type="noConversion"/>
  </si>
  <si>
    <t>新增项目平均地价</t>
    <phoneticPr fontId="1" type="noConversion"/>
  </si>
  <si>
    <t>在建项目总建筑面积</t>
    <phoneticPr fontId="1" type="noConversion"/>
  </si>
  <si>
    <t>在建项目权益建筑面积</t>
    <phoneticPr fontId="1" type="noConversion"/>
  </si>
  <si>
    <t>规划中项目总建筑面积</t>
    <phoneticPr fontId="1" type="noConversion"/>
  </si>
  <si>
    <t>规划中项目权益建筑面积</t>
    <phoneticPr fontId="1" type="noConversion"/>
  </si>
  <si>
    <t>旧城改造项目权益建筑面积</t>
    <phoneticPr fontId="1" type="noConversion"/>
  </si>
  <si>
    <t>万科物业新拓展项目的年饱和收入</t>
    <phoneticPr fontId="1" type="noConversion"/>
  </si>
  <si>
    <t>新拓展住宅物业服务新增签约面积</t>
    <phoneticPr fontId="1" type="noConversion"/>
  </si>
  <si>
    <t>新拓展住宅物业服务新增饱和收入</t>
    <phoneticPr fontId="1" type="noConversion"/>
  </si>
  <si>
    <t>万科物业累计签约面积</t>
    <phoneticPr fontId="1" type="noConversion"/>
  </si>
  <si>
    <t>其中已接管合同面积</t>
    <phoneticPr fontId="1" type="noConversion"/>
  </si>
  <si>
    <t>为未来储备面积</t>
    <phoneticPr fontId="1" type="noConversion"/>
  </si>
  <si>
    <t>房地产及相关业务结算毛利率</t>
    <phoneticPr fontId="1" type="noConversion"/>
  </si>
  <si>
    <t>有息负债</t>
    <phoneticPr fontId="1" type="noConversion"/>
  </si>
  <si>
    <t>短期债务</t>
    <phoneticPr fontId="1" type="noConversion"/>
  </si>
  <si>
    <t>长期债务</t>
    <phoneticPr fontId="1" type="noConversion"/>
  </si>
  <si>
    <t>利息支出</t>
    <phoneticPr fontId="1" type="noConversion"/>
  </si>
  <si>
    <t>利息资本化</t>
    <phoneticPr fontId="1" type="noConversion"/>
  </si>
  <si>
    <t>信用评级：</t>
    <phoneticPr fontId="1" type="noConversion"/>
  </si>
  <si>
    <t>标普</t>
    <phoneticPr fontId="1" type="noConversion"/>
  </si>
  <si>
    <t>惠誉</t>
    <phoneticPr fontId="1" type="noConversion"/>
  </si>
  <si>
    <t>BBB+</t>
    <phoneticPr fontId="1" type="noConversion"/>
  </si>
  <si>
    <t>穆迪</t>
    <phoneticPr fontId="1" type="noConversion"/>
  </si>
  <si>
    <t>Baa1</t>
    <phoneticPr fontId="1" type="noConversion"/>
  </si>
  <si>
    <t>中诚信</t>
    <phoneticPr fontId="1" type="noConversion"/>
  </si>
  <si>
    <t>AAA</t>
    <phoneticPr fontId="1" type="noConversion"/>
  </si>
  <si>
    <t>预计新开工面积</t>
    <phoneticPr fontId="1" type="noConversion"/>
  </si>
  <si>
    <t>预计项目竣工面积</t>
    <phoneticPr fontId="1" type="noConversion"/>
  </si>
  <si>
    <t>商业开发与运营：</t>
    <phoneticPr fontId="1" type="noConversion"/>
  </si>
  <si>
    <t>印力运营项目数量</t>
    <phoneticPr fontId="1" type="noConversion"/>
  </si>
  <si>
    <t>印力管理面积</t>
    <phoneticPr fontId="1" type="noConversion"/>
  </si>
  <si>
    <t>2016年</t>
    <phoneticPr fontId="1" type="noConversion"/>
  </si>
  <si>
    <t>阳光城主要财务指标</t>
    <phoneticPr fontId="1" type="noConversion"/>
  </si>
  <si>
    <t>2016年</t>
    <phoneticPr fontId="1" type="noConversion"/>
  </si>
  <si>
    <t>全口径销售金额</t>
    <phoneticPr fontId="1" type="noConversion"/>
  </si>
  <si>
    <t>权益销售金额</t>
    <phoneticPr fontId="1" type="noConversion"/>
  </si>
  <si>
    <t>有息负债</t>
    <phoneticPr fontId="1" type="noConversion"/>
  </si>
  <si>
    <t>短期债务</t>
    <phoneticPr fontId="1" type="noConversion"/>
  </si>
  <si>
    <t>平均融资成本</t>
    <phoneticPr fontId="1" type="noConversion"/>
  </si>
  <si>
    <t>新增权益土地储备（万㎡）</t>
    <phoneticPr fontId="1" type="noConversion"/>
  </si>
  <si>
    <t>累计土地储备（万㎡）</t>
    <phoneticPr fontId="1" type="noConversion"/>
  </si>
  <si>
    <t>累计成本地价（元/㎡）</t>
    <phoneticPr fontId="1" type="noConversion"/>
  </si>
  <si>
    <t>新增土地储备（万㎡）</t>
    <phoneticPr fontId="1" type="noConversion"/>
  </si>
  <si>
    <t>新增权益对价</t>
    <phoneticPr fontId="1" type="noConversion"/>
  </si>
  <si>
    <t>新增综合楼面价</t>
    <phoneticPr fontId="1" type="noConversion"/>
  </si>
  <si>
    <t>结算毛利率</t>
    <phoneticPr fontId="1" type="noConversion"/>
  </si>
  <si>
    <t>新增权益货值</t>
    <phoneticPr fontId="1" type="noConversion"/>
  </si>
  <si>
    <t>在手货值</t>
    <phoneticPr fontId="1" type="noConversion"/>
  </si>
  <si>
    <t>2020年</t>
    <phoneticPr fontId="1" type="noConversion"/>
  </si>
  <si>
    <t>华侨城主要财务指标</t>
    <phoneticPr fontId="1" type="noConversion"/>
  </si>
  <si>
    <t>归属上市公司股东的净资产</t>
    <phoneticPr fontId="1" type="noConversion"/>
  </si>
  <si>
    <t>旅游综合毛利率</t>
    <phoneticPr fontId="1" type="noConversion"/>
  </si>
  <si>
    <t>房地产毛利率</t>
    <phoneticPr fontId="1" type="noConversion"/>
  </si>
  <si>
    <t>旅游区接待游客（万人次）</t>
    <phoneticPr fontId="1" type="noConversion"/>
  </si>
  <si>
    <t>销售回款</t>
    <phoneticPr fontId="1" type="noConversion"/>
  </si>
  <si>
    <t>房地产业务（以收定投）：</t>
    <phoneticPr fontId="1" type="noConversion"/>
  </si>
  <si>
    <t>新增土地数量</t>
    <phoneticPr fontId="1" type="noConversion"/>
  </si>
  <si>
    <t>新增计容建筑面积</t>
    <phoneticPr fontId="1" type="noConversion"/>
  </si>
  <si>
    <t>签约销售额</t>
    <phoneticPr fontId="1" type="noConversion"/>
  </si>
  <si>
    <t>签约销售面积</t>
    <phoneticPr fontId="1" type="noConversion"/>
  </si>
  <si>
    <t>借款费用资本化</t>
    <phoneticPr fontId="1" type="noConversion"/>
  </si>
  <si>
    <t>旅游及房开土储</t>
    <phoneticPr fontId="1" type="noConversion"/>
  </si>
  <si>
    <t>规划总建筑面积</t>
    <phoneticPr fontId="1" type="noConversion"/>
  </si>
  <si>
    <t>奥园财务指标</t>
    <phoneticPr fontId="1" type="noConversion"/>
  </si>
  <si>
    <t>合同销售额</t>
    <phoneticPr fontId="1" type="noConversion"/>
  </si>
  <si>
    <t>借贷成本</t>
    <phoneticPr fontId="1" type="noConversion"/>
  </si>
  <si>
    <t>分红</t>
    <phoneticPr fontId="1" type="noConversion"/>
  </si>
  <si>
    <t>惠誉评级</t>
    <phoneticPr fontId="1" type="noConversion"/>
  </si>
  <si>
    <t>BB[稳定]</t>
    <phoneticPr fontId="1" type="noConversion"/>
  </si>
  <si>
    <t>新增建筑面积</t>
    <phoneticPr fontId="1" type="noConversion"/>
  </si>
  <si>
    <t>新增可售货值</t>
    <phoneticPr fontId="1" type="noConversion"/>
  </si>
  <si>
    <t>城市更新项目：</t>
    <phoneticPr fontId="1" type="noConversion"/>
  </si>
  <si>
    <t>总规划建筑面积</t>
    <phoneticPr fontId="1" type="noConversion"/>
  </si>
  <si>
    <t>规划可售面积</t>
    <phoneticPr fontId="1" type="noConversion"/>
  </si>
  <si>
    <t>预计额外提供可售货值</t>
    <phoneticPr fontId="1" type="noConversion"/>
  </si>
  <si>
    <t>项目总数</t>
    <phoneticPr fontId="1" type="noConversion"/>
  </si>
  <si>
    <t>土地储备总建筑面积</t>
    <phoneticPr fontId="1" type="noConversion"/>
  </si>
  <si>
    <t>权益比</t>
    <phoneticPr fontId="1" type="noConversion"/>
  </si>
  <si>
    <t>计入城市更新项目后的总货值（亿元）</t>
    <phoneticPr fontId="1" type="noConversion"/>
  </si>
  <si>
    <t>总货值（亿元）</t>
    <phoneticPr fontId="1" type="noConversion"/>
  </si>
  <si>
    <t>结算销售均价</t>
    <phoneticPr fontId="1" type="noConversion"/>
  </si>
  <si>
    <t>提供担保</t>
    <phoneticPr fontId="1" type="noConversion"/>
  </si>
  <si>
    <t>国内评级</t>
    <phoneticPr fontId="1" type="noConversion"/>
  </si>
  <si>
    <t>合同销售面积</t>
    <phoneticPr fontId="1" type="noConversion"/>
  </si>
  <si>
    <t>平均土储成本（元/㎡）</t>
    <phoneticPr fontId="1" type="noConversion"/>
  </si>
  <si>
    <t>有息负债实际利率</t>
    <phoneticPr fontId="1" type="noConversion"/>
  </si>
  <si>
    <t>平均售价</t>
    <phoneticPr fontId="1" type="noConversion"/>
  </si>
  <si>
    <t>集团自投项目合同销售面积</t>
    <phoneticPr fontId="1" type="noConversion"/>
  </si>
  <si>
    <t>2020年每股股息（建议）</t>
    <phoneticPr fontId="1" type="noConversion"/>
  </si>
  <si>
    <t>2期分红，每期0.8港元</t>
    <phoneticPr fontId="1" type="noConversion"/>
  </si>
  <si>
    <t>2020年</t>
    <phoneticPr fontId="1" type="noConversion"/>
  </si>
  <si>
    <t>销售均价</t>
    <phoneticPr fontId="1" type="noConversion"/>
  </si>
  <si>
    <t>中国恒大财务数据</t>
    <phoneticPr fontId="1" type="noConversion"/>
  </si>
  <si>
    <t>合约销售面积</t>
    <phoneticPr fontId="1" type="noConversion"/>
  </si>
  <si>
    <t>短期借款</t>
    <phoneticPr fontId="1" type="noConversion"/>
  </si>
  <si>
    <t>长期借款</t>
    <phoneticPr fontId="1" type="noConversion"/>
  </si>
  <si>
    <t>土储面积</t>
    <phoneticPr fontId="1" type="noConversion"/>
  </si>
  <si>
    <t>新增土储数量</t>
    <phoneticPr fontId="1" type="noConversion"/>
  </si>
  <si>
    <t>新增土储建筑面积</t>
    <phoneticPr fontId="1" type="noConversion"/>
  </si>
  <si>
    <t>新增土储平均成本</t>
    <phoneticPr fontId="1" type="noConversion"/>
  </si>
  <si>
    <t>总土储数量</t>
    <phoneticPr fontId="1" type="noConversion"/>
  </si>
  <si>
    <t>土地储备原值（亿元）</t>
    <phoneticPr fontId="1" type="noConversion"/>
  </si>
  <si>
    <t>新开工面积</t>
    <phoneticPr fontId="1" type="noConversion"/>
  </si>
  <si>
    <t>在建工程面积</t>
    <phoneticPr fontId="1" type="noConversion"/>
  </si>
  <si>
    <t>竣工面积</t>
    <phoneticPr fontId="1" type="noConversion"/>
  </si>
  <si>
    <t>计划2021年有息负债</t>
    <phoneticPr fontId="1" type="noConversion"/>
  </si>
  <si>
    <t>5600亿</t>
    <phoneticPr fontId="1" type="noConversion"/>
  </si>
  <si>
    <t>计划2022年6年有息负债</t>
    <phoneticPr fontId="1" type="noConversion"/>
  </si>
  <si>
    <t>计划2023年6年有息负债</t>
    <phoneticPr fontId="1" type="noConversion"/>
  </si>
  <si>
    <t>4500亿</t>
    <phoneticPr fontId="1" type="noConversion"/>
  </si>
  <si>
    <t>3500亿</t>
    <phoneticPr fontId="1" type="noConversion"/>
  </si>
  <si>
    <t>计划2021年6月净负债率</t>
    <phoneticPr fontId="1" type="noConversion"/>
  </si>
  <si>
    <t>小于100%</t>
    <phoneticPr fontId="1" type="noConversion"/>
  </si>
  <si>
    <t>计划2121年现金短债比</t>
    <phoneticPr fontId="1" type="noConversion"/>
  </si>
  <si>
    <t>大于1</t>
    <phoneticPr fontId="1" type="noConversion"/>
  </si>
  <si>
    <t>计划2022年资产负债率</t>
    <phoneticPr fontId="1" type="noConversion"/>
  </si>
  <si>
    <t>小于70%</t>
    <phoneticPr fontId="1" type="noConversion"/>
  </si>
  <si>
    <t>借款平均利率</t>
    <phoneticPr fontId="1" type="noConversion"/>
  </si>
  <si>
    <t>土地平均成本</t>
    <phoneticPr fontId="1" type="noConversion"/>
  </si>
  <si>
    <t>规划建筑面积</t>
    <phoneticPr fontId="1" type="noConversion"/>
  </si>
  <si>
    <t>融创中国财务数据</t>
    <phoneticPr fontId="1" type="noConversion"/>
  </si>
  <si>
    <t>合同销售金额</t>
    <phoneticPr fontId="1" type="noConversion"/>
  </si>
  <si>
    <t>本公司拥有人应占溢利</t>
    <phoneticPr fontId="1" type="noConversion"/>
  </si>
  <si>
    <t>非受限现金短债比</t>
    <phoneticPr fontId="1" type="noConversion"/>
  </si>
  <si>
    <t>剔除预收款后的资产负债率</t>
    <phoneticPr fontId="1" type="noConversion"/>
  </si>
  <si>
    <t>管理费用</t>
    <phoneticPr fontId="1" type="noConversion"/>
  </si>
  <si>
    <t>销售费用</t>
    <phoneticPr fontId="1" type="noConversion"/>
  </si>
  <si>
    <t>本公司拥有人应占权益</t>
    <phoneticPr fontId="1" type="noConversion"/>
  </si>
  <si>
    <t>借款总额</t>
    <phoneticPr fontId="1" type="noConversion"/>
  </si>
  <si>
    <t>利息开支</t>
    <phoneticPr fontId="1" type="noConversion"/>
  </si>
  <si>
    <t>新增土储面积</t>
    <phoneticPr fontId="1" type="noConversion"/>
  </si>
  <si>
    <t>新增货值</t>
    <phoneticPr fontId="1" type="noConversion"/>
  </si>
  <si>
    <t>平均土地成本</t>
    <phoneticPr fontId="1" type="noConversion"/>
  </si>
  <si>
    <t>权益土地储备面积</t>
    <phoneticPr fontId="1" type="noConversion"/>
  </si>
  <si>
    <t>合联营毛利率</t>
    <phoneticPr fontId="1" type="noConversion"/>
  </si>
  <si>
    <t>加权平均实际利率</t>
    <phoneticPr fontId="1" type="noConversion"/>
  </si>
  <si>
    <t>项目数量</t>
    <phoneticPr fontId="1" type="noConversion"/>
  </si>
  <si>
    <t>新增权益土储面积</t>
    <phoneticPr fontId="1" type="noConversion"/>
  </si>
  <si>
    <t>新增平均土地成本</t>
    <phoneticPr fontId="1" type="noConversion"/>
  </si>
  <si>
    <t>预计可售资源（亿元）</t>
    <phoneticPr fontId="1" type="noConversion"/>
  </si>
  <si>
    <t>土地储备货值（亿元）</t>
    <phoneticPr fontId="1" type="noConversion"/>
  </si>
  <si>
    <t>土地储备面积（万㎡）</t>
    <phoneticPr fontId="1" type="noConversion"/>
  </si>
  <si>
    <t>荣盛发展财务数据</t>
    <phoneticPr fontId="1" type="noConversion"/>
  </si>
  <si>
    <t>签约销售金额</t>
    <phoneticPr fontId="1" type="noConversion"/>
  </si>
  <si>
    <t>新增规划建筑面积</t>
    <phoneticPr fontId="1" type="noConversion"/>
  </si>
  <si>
    <t>土地储备建筑面积</t>
    <phoneticPr fontId="1" type="noConversion"/>
  </si>
  <si>
    <t>开工面积</t>
    <phoneticPr fontId="1" type="noConversion"/>
  </si>
  <si>
    <t>结转项目面积</t>
    <phoneticPr fontId="1" type="noConversion"/>
  </si>
  <si>
    <t>新增土地储备面积</t>
    <phoneticPr fontId="1" type="noConversion"/>
  </si>
  <si>
    <t>新增土地储备货值</t>
    <phoneticPr fontId="1" type="noConversion"/>
  </si>
  <si>
    <t>新增土地储备利润</t>
    <phoneticPr fontId="1" type="noConversion"/>
  </si>
  <si>
    <t>康旅板块：</t>
    <phoneticPr fontId="1" type="noConversion"/>
  </si>
  <si>
    <t>产业园板块：</t>
    <phoneticPr fontId="1" type="noConversion"/>
  </si>
  <si>
    <t>回款</t>
    <phoneticPr fontId="1" type="noConversion"/>
  </si>
  <si>
    <t>购地金额</t>
    <phoneticPr fontId="1" type="noConversion"/>
  </si>
  <si>
    <t>权益购地金额</t>
    <phoneticPr fontId="1" type="noConversion"/>
  </si>
  <si>
    <t>融资余额</t>
    <phoneticPr fontId="1" type="noConversion"/>
  </si>
  <si>
    <t>计划新获取建筑面积</t>
    <phoneticPr fontId="1" type="noConversion"/>
  </si>
  <si>
    <t>计划新增融资</t>
    <phoneticPr fontId="1" type="noConversion"/>
  </si>
  <si>
    <t>计划签约金额</t>
    <phoneticPr fontId="1" type="noConversion"/>
  </si>
  <si>
    <t>计划销售回款</t>
    <phoneticPr fontId="1" type="noConversion"/>
  </si>
  <si>
    <t>新增融资额</t>
    <phoneticPr fontId="1" type="noConversion"/>
  </si>
  <si>
    <t>营业收入</t>
    <phoneticPr fontId="1" type="noConversion"/>
  </si>
  <si>
    <t>签约</t>
    <phoneticPr fontId="1" type="noConversion"/>
  </si>
  <si>
    <t>金融板块：</t>
    <phoneticPr fontId="1" type="noConversion"/>
  </si>
  <si>
    <t>振兴银行资产规模</t>
    <phoneticPr fontId="1" type="noConversion"/>
  </si>
  <si>
    <t>新增融资平均融资产成本</t>
    <phoneticPr fontId="1" type="noConversion"/>
  </si>
  <si>
    <t>金科股份财务数据</t>
    <phoneticPr fontId="1" type="noConversion"/>
  </si>
  <si>
    <t>归属于上市公司股东的净利润</t>
    <phoneticPr fontId="1" type="noConversion"/>
  </si>
  <si>
    <t>归属于上市公司股东的扣除非经常性损益的净利润</t>
    <phoneticPr fontId="1" type="noConversion"/>
  </si>
  <si>
    <t>归属于上市公司股东的净资产</t>
    <phoneticPr fontId="1" type="noConversion"/>
  </si>
  <si>
    <t>销售金额</t>
    <phoneticPr fontId="1" type="noConversion"/>
  </si>
  <si>
    <t>销售面积</t>
    <phoneticPr fontId="1" type="noConversion"/>
  </si>
  <si>
    <t>新增土地数量</t>
    <phoneticPr fontId="1" type="noConversion"/>
  </si>
  <si>
    <t>新增土地购置金额</t>
    <phoneticPr fontId="1" type="noConversion"/>
  </si>
  <si>
    <t>新增计容建筑面积</t>
    <phoneticPr fontId="1" type="noConversion"/>
  </si>
  <si>
    <t>新增楼面价</t>
    <phoneticPr fontId="1" type="noConversion"/>
  </si>
  <si>
    <t>总可售面积</t>
    <phoneticPr fontId="1" type="noConversion"/>
  </si>
  <si>
    <t>销售回款</t>
    <phoneticPr fontId="1" type="noConversion"/>
  </si>
  <si>
    <t>短期债务</t>
    <phoneticPr fontId="1" type="noConversion"/>
  </si>
  <si>
    <t>现金短债比</t>
    <phoneticPr fontId="1" type="noConversion"/>
  </si>
  <si>
    <t>扣除预收款后的资产负债率</t>
    <phoneticPr fontId="1" type="noConversion"/>
  </si>
  <si>
    <t>净负债率</t>
    <phoneticPr fontId="1" type="noConversion"/>
  </si>
  <si>
    <t>在建项目数量</t>
    <phoneticPr fontId="1" type="noConversion"/>
  </si>
  <si>
    <t>新开工面积</t>
    <phoneticPr fontId="1" type="noConversion"/>
  </si>
  <si>
    <t>竣工面积</t>
    <phoneticPr fontId="1" type="noConversion"/>
  </si>
  <si>
    <t>在建面积</t>
    <phoneticPr fontId="1" type="noConversion"/>
  </si>
  <si>
    <t>有息负债</t>
    <phoneticPr fontId="1" type="noConversion"/>
  </si>
  <si>
    <t>房地产毛利率</t>
    <phoneticPr fontId="1" type="noConversion"/>
  </si>
  <si>
    <t>计划全年销售目标</t>
    <phoneticPr fontId="1" type="noConversion"/>
  </si>
  <si>
    <t>计划新开工面积</t>
    <phoneticPr fontId="1" type="noConversion"/>
  </si>
  <si>
    <t>计划竣工面积</t>
    <phoneticPr fontId="1" type="noConversion"/>
  </si>
  <si>
    <t>计划在建面积</t>
    <phoneticPr fontId="1" type="noConversion"/>
  </si>
  <si>
    <t>分红</t>
    <phoneticPr fontId="1" type="noConversion"/>
  </si>
  <si>
    <t>销售费用</t>
    <phoneticPr fontId="1" type="noConversion"/>
  </si>
  <si>
    <t>管理费用</t>
    <phoneticPr fontId="1" type="noConversion"/>
  </si>
  <si>
    <t>借款费用资本化</t>
    <phoneticPr fontId="1" type="noConversion"/>
  </si>
  <si>
    <t>借款费用资本化率</t>
    <phoneticPr fontId="1" type="noConversion"/>
  </si>
  <si>
    <t>新增土地权益合同金额</t>
    <phoneticPr fontId="1" type="noConversion"/>
  </si>
  <si>
    <t>计划新增可售货值</t>
    <phoneticPr fontId="1" type="noConversion"/>
  </si>
  <si>
    <t>保利主要财务指标</t>
    <phoneticPr fontId="1" type="noConversion"/>
  </si>
  <si>
    <t>有息负债综合融资成本</t>
    <phoneticPr fontId="1" type="noConversion"/>
  </si>
  <si>
    <t>销售回笼</t>
    <phoneticPr fontId="1" type="noConversion"/>
  </si>
  <si>
    <t>信用评级</t>
    <phoneticPr fontId="1" type="noConversion"/>
  </si>
  <si>
    <t>标准普尔</t>
    <phoneticPr fontId="1" type="noConversion"/>
  </si>
  <si>
    <t>BBB</t>
    <phoneticPr fontId="1" type="noConversion"/>
  </si>
  <si>
    <t>Baa2</t>
    <phoneticPr fontId="1" type="noConversion"/>
  </si>
  <si>
    <t>公司品牌价值</t>
    <phoneticPr fontId="1" type="noConversion"/>
  </si>
  <si>
    <t>签约金额</t>
    <phoneticPr fontId="1" type="noConversion"/>
  </si>
  <si>
    <t>市场占有率</t>
    <phoneticPr fontId="1" type="noConversion"/>
  </si>
  <si>
    <t>签约面积</t>
    <phoneticPr fontId="1" type="noConversion"/>
  </si>
  <si>
    <t>新增容积率面积</t>
    <phoneticPr fontId="1" type="noConversion"/>
  </si>
  <si>
    <t>扩展金额权益比例</t>
    <phoneticPr fontId="1" type="noConversion"/>
  </si>
  <si>
    <t>新增权益面积</t>
    <phoneticPr fontId="1" type="noConversion"/>
  </si>
  <si>
    <t>年内扩展平均楼面地价</t>
    <phoneticPr fontId="1" type="noConversion"/>
  </si>
  <si>
    <t>扩展溢价率</t>
    <phoneticPr fontId="1" type="noConversion"/>
  </si>
  <si>
    <t>住宅货量占比</t>
    <phoneticPr fontId="1" type="noConversion"/>
  </si>
  <si>
    <t>核心城市数量</t>
    <phoneticPr fontId="1" type="noConversion"/>
  </si>
  <si>
    <t>核心城市扩展金额占比</t>
    <phoneticPr fontId="1" type="noConversion"/>
  </si>
  <si>
    <t>待开发面积</t>
    <phoneticPr fontId="1" type="noConversion"/>
  </si>
  <si>
    <t>其中核心城市占比</t>
    <phoneticPr fontId="1" type="noConversion"/>
  </si>
  <si>
    <t>净利率</t>
    <phoneticPr fontId="1" type="noConversion"/>
  </si>
  <si>
    <t>借款费用资本化</t>
    <phoneticPr fontId="1" type="noConversion"/>
  </si>
  <si>
    <t>销售回笼率</t>
    <phoneticPr fontId="1" type="noConversion"/>
  </si>
  <si>
    <t>核心城市销售贡献占比</t>
    <phoneticPr fontId="1" type="noConversion"/>
  </si>
  <si>
    <t>并购获取项目数量</t>
    <phoneticPr fontId="1" type="noConversion"/>
  </si>
  <si>
    <t>并购新增容积率面积</t>
    <phoneticPr fontId="1" type="noConversion"/>
  </si>
  <si>
    <t>扩展成本（亿元）</t>
    <phoneticPr fontId="1" type="noConversion"/>
  </si>
  <si>
    <t>签约面积（万平，下同）</t>
    <phoneticPr fontId="1" type="noConversion"/>
  </si>
  <si>
    <t>金地主要财务指标</t>
    <phoneticPr fontId="1" type="noConversion"/>
  </si>
  <si>
    <t>债务融资加权平均成本</t>
    <phoneticPr fontId="1" type="noConversion"/>
  </si>
  <si>
    <t>新增土地总投资额</t>
    <phoneticPr fontId="1" type="noConversion"/>
  </si>
  <si>
    <t>权益土地储备</t>
    <phoneticPr fontId="1" type="noConversion"/>
  </si>
  <si>
    <t>总土地储备面积</t>
    <phoneticPr fontId="1" type="noConversion"/>
  </si>
  <si>
    <t>房地产结算毛利率</t>
    <phoneticPr fontId="1" type="noConversion"/>
  </si>
  <si>
    <t>BB</t>
    <phoneticPr fontId="1" type="noConversion"/>
  </si>
  <si>
    <t>Ba2</t>
    <phoneticPr fontId="1" type="noConversion"/>
  </si>
  <si>
    <t>债务融资余额</t>
    <phoneticPr fontId="1" type="noConversion"/>
  </si>
  <si>
    <t>利息资本化金额</t>
    <phoneticPr fontId="1" type="noConversion"/>
  </si>
  <si>
    <t>实际开工面积</t>
    <phoneticPr fontId="1" type="noConversion"/>
  </si>
  <si>
    <t>实际竣工面积</t>
    <phoneticPr fontId="1" type="noConversion"/>
  </si>
  <si>
    <t>新增权益储备面积</t>
    <phoneticPr fontId="1" type="noConversion"/>
  </si>
  <si>
    <t>新增权益投资额</t>
    <phoneticPr fontId="1" type="noConversion"/>
  </si>
  <si>
    <t>蓝光主要财务指标</t>
    <phoneticPr fontId="1" type="noConversion"/>
  </si>
  <si>
    <t>权益销售面积</t>
    <phoneticPr fontId="1" type="noConversion"/>
  </si>
  <si>
    <t>评级</t>
    <phoneticPr fontId="1" type="noConversion"/>
  </si>
  <si>
    <t>大公国际</t>
    <phoneticPr fontId="1" type="noConversion"/>
  </si>
  <si>
    <t>B+</t>
    <phoneticPr fontId="1" type="noConversion"/>
  </si>
  <si>
    <t>B1</t>
    <phoneticPr fontId="1" type="noConversion"/>
  </si>
  <si>
    <t>融资总额</t>
    <phoneticPr fontId="1" type="noConversion"/>
  </si>
  <si>
    <t>整体平均融资成本</t>
    <phoneticPr fontId="1" type="noConversion"/>
  </si>
  <si>
    <t>待开发建筑面积</t>
    <phoneticPr fontId="1" type="noConversion"/>
  </si>
  <si>
    <t>AA+</t>
    <phoneticPr fontId="1" type="noConversion"/>
  </si>
  <si>
    <t>销售均价</t>
    <phoneticPr fontId="1" type="noConversion"/>
  </si>
  <si>
    <r>
      <rPr>
        <sz val="11"/>
        <color rgb="FF444444"/>
        <rFont val="宋体"/>
        <family val="3"/>
        <charset val="134"/>
      </rPr>
      <t>今年的借款费用资本化总额</t>
    </r>
    <r>
      <rPr>
        <sz val="11"/>
        <color rgb="FF444444"/>
        <rFont val="Arial"/>
        <family val="2"/>
      </rPr>
      <t>=</t>
    </r>
    <r>
      <rPr>
        <sz val="11"/>
        <color rgb="FF444444"/>
        <rFont val="宋体"/>
        <family val="3"/>
        <charset val="134"/>
      </rPr>
      <t>去年的借款费用资本化总额</t>
    </r>
    <r>
      <rPr>
        <sz val="11"/>
        <color rgb="FF444444"/>
        <rFont val="Arial"/>
        <family val="2"/>
      </rPr>
      <t>-</t>
    </r>
    <r>
      <rPr>
        <sz val="11"/>
        <color rgb="FF444444"/>
        <rFont val="宋体"/>
        <family val="3"/>
        <charset val="134"/>
      </rPr>
      <t>已消化掉的利息支出</t>
    </r>
    <r>
      <rPr>
        <sz val="11"/>
        <color rgb="FF444444"/>
        <rFont val="Arial"/>
        <family val="2"/>
      </rPr>
      <t>+</t>
    </r>
    <r>
      <rPr>
        <sz val="11"/>
        <color rgb="FF444444"/>
        <rFont val="宋体"/>
        <family val="3"/>
        <charset val="134"/>
      </rPr>
      <t>新增的利息支出</t>
    </r>
    <phoneticPr fontId="1" type="noConversion"/>
  </si>
  <si>
    <t>已消化利息支出</t>
    <phoneticPr fontId="1" type="noConversion"/>
  </si>
  <si>
    <t>去年借款费用资本化+今年利息资本化</t>
    <phoneticPr fontId="1" type="noConversion"/>
  </si>
  <si>
    <t>借款费用资本化</t>
    <phoneticPr fontId="1" type="noConversion"/>
  </si>
  <si>
    <t>当年借款费用合计</t>
    <phoneticPr fontId="1" type="noConversion"/>
  </si>
  <si>
    <t>实际利息支出</t>
    <phoneticPr fontId="1" type="noConversion"/>
  </si>
  <si>
    <t>费用化利息</t>
    <phoneticPr fontId="1" type="noConversion"/>
  </si>
  <si>
    <t>实际利息支出（计算）</t>
    <phoneticPr fontId="1" type="noConversion"/>
  </si>
  <si>
    <t>费用化利息=实际利息支出-利息资本化</t>
    <phoneticPr fontId="1" type="noConversion"/>
  </si>
  <si>
    <t>已消化利息支出（计算）</t>
    <phoneticPr fontId="1" type="noConversion"/>
  </si>
  <si>
    <t>没有资本化的利息支出</t>
    <phoneticPr fontId="1" type="noConversion"/>
  </si>
  <si>
    <t>销售均价</t>
    <phoneticPr fontId="1" type="noConversion"/>
  </si>
  <si>
    <t>新增土储楼面价</t>
    <phoneticPr fontId="1" type="noConversion"/>
  </si>
  <si>
    <t>利息费用</t>
    <phoneticPr fontId="1" type="noConversion"/>
  </si>
  <si>
    <t>永续债利息支出</t>
    <phoneticPr fontId="1" type="noConversion"/>
  </si>
  <si>
    <t>利息费用</t>
    <phoneticPr fontId="1" type="noConversion"/>
  </si>
  <si>
    <t>净负债率</t>
    <phoneticPr fontId="1" type="noConversion"/>
  </si>
  <si>
    <t>非控制权益</t>
    <phoneticPr fontId="1" type="noConversion"/>
  </si>
  <si>
    <t>本公司拥有人应占权益</t>
    <phoneticPr fontId="1" type="noConversion"/>
  </si>
  <si>
    <t>非控股权益</t>
    <phoneticPr fontId="1" type="noConversion"/>
  </si>
  <si>
    <t>2016年</t>
    <phoneticPr fontId="1" type="noConversion"/>
  </si>
  <si>
    <t>2015年</t>
    <phoneticPr fontId="1" type="noConversion"/>
  </si>
  <si>
    <t>本公司拥有人应占股本权益</t>
    <phoneticPr fontId="1" type="noConversion"/>
  </si>
  <si>
    <t>在手资源/在建面积</t>
    <phoneticPr fontId="1" type="noConversion"/>
  </si>
  <si>
    <t>剔除预收款资产负债率</t>
    <phoneticPr fontId="1" type="noConversion"/>
  </si>
  <si>
    <t>现金短债比</t>
    <phoneticPr fontId="1" type="noConversion"/>
  </si>
  <si>
    <t>归母净利润</t>
    <phoneticPr fontId="1" type="noConversion"/>
  </si>
  <si>
    <t>分红</t>
    <phoneticPr fontId="1" type="noConversion"/>
  </si>
  <si>
    <t>分红占归母净利润比率</t>
    <phoneticPr fontId="1" type="noConversion"/>
  </si>
  <si>
    <t>少数股东权益</t>
    <phoneticPr fontId="1" type="noConversion"/>
  </si>
  <si>
    <t>ROE</t>
    <phoneticPr fontId="1" type="noConversion"/>
  </si>
  <si>
    <t>销售均价</t>
    <phoneticPr fontId="1" type="noConversion"/>
  </si>
  <si>
    <t>归属于上市公司股东的扣除非经常性损益的净利润</t>
    <phoneticPr fontId="1" type="noConversion"/>
  </si>
  <si>
    <t>房地产结算收入（亿元）</t>
    <phoneticPr fontId="1" type="noConversion"/>
  </si>
  <si>
    <t>已售未结合同销售额（亿元）</t>
    <phoneticPr fontId="1" type="noConversion"/>
  </si>
  <si>
    <t>现金短债比</t>
    <phoneticPr fontId="1" type="noConversion"/>
  </si>
  <si>
    <t>净负债率</t>
    <phoneticPr fontId="1" type="noConversion"/>
  </si>
  <si>
    <t>剔除预收款后的资产负债率</t>
    <phoneticPr fontId="1" type="noConversion"/>
  </si>
  <si>
    <t>总负债率</t>
    <phoneticPr fontId="1" type="noConversion"/>
  </si>
  <si>
    <t>销售费用</t>
    <phoneticPr fontId="1" type="noConversion"/>
  </si>
  <si>
    <t>分红金额</t>
    <phoneticPr fontId="1" type="noConversion"/>
  </si>
  <si>
    <t>结算营收</t>
    <phoneticPr fontId="1" type="noConversion"/>
  </si>
  <si>
    <t>房地产结算收入</t>
    <phoneticPr fontId="1" type="noConversion"/>
  </si>
  <si>
    <t>购地金额</t>
    <phoneticPr fontId="1" type="noConversion"/>
  </si>
  <si>
    <t>权益购地金额</t>
    <phoneticPr fontId="1" type="noConversion"/>
  </si>
  <si>
    <t>房地产营收</t>
    <phoneticPr fontId="1" type="noConversion"/>
  </si>
  <si>
    <t>中梁控股财务数据</t>
    <phoneticPr fontId="1" type="noConversion"/>
  </si>
  <si>
    <t>本集团的拥有人应佔核心淨利润</t>
    <phoneticPr fontId="1" type="noConversion"/>
  </si>
  <si>
    <t>土地投资总额</t>
    <phoneticPr fontId="1" type="noConversion"/>
  </si>
  <si>
    <t>获取土地数量（宗）</t>
    <phoneticPr fontId="1" type="noConversion"/>
  </si>
  <si>
    <t>新增土储建面</t>
    <phoneticPr fontId="1" type="noConversion"/>
  </si>
  <si>
    <t>加权平均融资成本</t>
    <phoneticPr fontId="1" type="noConversion"/>
  </si>
  <si>
    <t>其中附属公司销售额</t>
    <phoneticPr fontId="1" type="noConversion"/>
  </si>
  <si>
    <t>土地储备总量万㎡）</t>
    <phoneticPr fontId="1" type="noConversion"/>
  </si>
  <si>
    <t>本集团应占土地储备总量</t>
    <phoneticPr fontId="1" type="noConversion"/>
  </si>
  <si>
    <t>非控股权益</t>
    <phoneticPr fontId="1" type="noConversion"/>
  </si>
  <si>
    <t>年內溢利</t>
    <phoneticPr fontId="1" type="noConversion"/>
  </si>
  <si>
    <t>销售均价</t>
    <phoneticPr fontId="1" type="noConversion"/>
  </si>
  <si>
    <t>2021年</t>
    <phoneticPr fontId="1" type="noConversion"/>
  </si>
  <si>
    <t>归母净利率</t>
    <phoneticPr fontId="1" type="noConversion"/>
  </si>
  <si>
    <t>（四）土储情况</t>
    <phoneticPr fontId="1" type="noConversion"/>
  </si>
  <si>
    <t>（五）负债情况</t>
    <phoneticPr fontId="1" type="noConversion"/>
  </si>
  <si>
    <t>（六）费用情况</t>
    <phoneticPr fontId="1" type="noConversion"/>
  </si>
  <si>
    <t>2021H1</t>
    <phoneticPr fontId="1" type="noConversion"/>
  </si>
  <si>
    <t>已售未结合同销售额（亿元）</t>
    <phoneticPr fontId="1" type="noConversion"/>
  </si>
  <si>
    <t>短期负债</t>
    <phoneticPr fontId="1" type="noConversion"/>
  </si>
  <si>
    <t>（一）主要指标</t>
    <phoneticPr fontId="1" type="noConversion"/>
  </si>
  <si>
    <t>（二）盈利情况</t>
    <phoneticPr fontId="1" type="noConversion"/>
  </si>
  <si>
    <t>（三）销售情况</t>
    <phoneticPr fontId="1" type="noConversion"/>
  </si>
  <si>
    <t>归母净资产</t>
    <phoneticPr fontId="1" type="noConversion"/>
  </si>
  <si>
    <t>历年主要财务指标</t>
    <phoneticPr fontId="1" type="noConversion"/>
  </si>
  <si>
    <t>货币资金</t>
    <phoneticPr fontId="1" type="noConversion"/>
  </si>
  <si>
    <t>分红占净利润之比</t>
    <phoneticPr fontId="1" type="noConversion"/>
  </si>
  <si>
    <t>预收款</t>
    <phoneticPr fontId="1" type="noConversion"/>
  </si>
  <si>
    <t>资产重估</t>
    <phoneticPr fontId="1" type="noConversion"/>
  </si>
  <si>
    <t>扣除重估后归母净利率</t>
    <phoneticPr fontId="1" type="noConversion"/>
  </si>
  <si>
    <t>合同销售额（亿元）</t>
    <phoneticPr fontId="1" type="noConversion"/>
  </si>
  <si>
    <t>合同销售建面（万㎡）</t>
    <phoneticPr fontId="1" type="noConversion"/>
  </si>
  <si>
    <t>合同销售单价（元/㎡）</t>
    <phoneticPr fontId="1" type="noConversion"/>
  </si>
  <si>
    <t>新增土储建面（万㎡）</t>
    <phoneticPr fontId="1" type="noConversion"/>
  </si>
  <si>
    <t>新增土储权益面积（万㎡）</t>
    <phoneticPr fontId="1" type="noConversion"/>
  </si>
  <si>
    <t>平均融资成本</t>
    <phoneticPr fontId="1" type="noConversion"/>
  </si>
  <si>
    <t>权益土储面积（万㎡）</t>
    <phoneticPr fontId="1" type="noConversion"/>
  </si>
  <si>
    <t>土储面积（万㎡）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</si>
</sst>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0.00_ "/>
    <numFmt numFmtId="177" formatCode="0_ "/>
    <numFmt numFmtId="178" formatCode="0.00_);[Red]\(0.00\)"/>
    <numFmt numFmtId="179" formatCode="0.0_ "/>
    <numFmt numFmtId="180" formatCode="0_);[Red]\(0\)"/>
    <numFmt numFmtId="181" formatCode="0.0%"/>
    <numFmt numFmtId="182" formatCode="#,##0.00_);[Red]\(#,##0.00\)"/>
  </numFmts>
  <fonts count="2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rgb="FF7030A0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1"/>
      <color rgb="FFC00000"/>
      <name val="等线"/>
      <family val="2"/>
      <scheme val="minor"/>
    </font>
    <font>
      <sz val="11"/>
      <color rgb="FF444444"/>
      <name val="Arial"/>
      <family val="2"/>
    </font>
    <font>
      <sz val="11"/>
      <color rgb="FF444444"/>
      <name val="宋体"/>
      <family val="3"/>
      <charset val="134"/>
    </font>
    <font>
      <sz val="11"/>
      <color rgb="FF444444"/>
      <name val="Arial"/>
      <family val="3"/>
      <charset val="134"/>
    </font>
    <font>
      <b/>
      <sz val="11"/>
      <color theme="1" tint="0.34998626667073579"/>
      <name val="等线"/>
      <family val="3"/>
      <charset val="134"/>
      <scheme val="minor"/>
    </font>
    <font>
      <b/>
      <sz val="11"/>
      <color theme="0"/>
      <name val="等线"/>
      <family val="3"/>
      <charset val="134"/>
      <scheme val="minor"/>
    </font>
    <font>
      <sz val="11"/>
      <color theme="1"/>
      <name val="Times New Roman"/>
      <family val="1"/>
    </font>
    <font>
      <b/>
      <sz val="10"/>
      <color theme="0"/>
      <name val="微软雅黑"/>
      <family val="2"/>
      <charset val="134"/>
    </font>
    <font>
      <b/>
      <sz val="10"/>
      <color theme="1" tint="0.34998626667073579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10"/>
      <color theme="1" tint="0.34998626667073579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0"/>
      <color theme="0"/>
      <name val="微软雅黑 Light"/>
      <family val="2"/>
      <charset val="134"/>
    </font>
    <font>
      <b/>
      <sz val="10"/>
      <color theme="1" tint="0.249977111117893"/>
      <name val="微软雅黑 Light"/>
      <family val="2"/>
      <charset val="134"/>
    </font>
    <font>
      <sz val="11"/>
      <color rgb="FFFF0000"/>
      <name val="Times New Roman"/>
      <family val="1"/>
    </font>
    <font>
      <b/>
      <sz val="11"/>
      <color theme="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1"/>
      <color theme="1" tint="0.499984740745262"/>
      <name val="微软雅黑"/>
      <family val="2"/>
      <charset val="134"/>
    </font>
    <font>
      <b/>
      <sz val="10"/>
      <color theme="1" tint="0.499984740745262"/>
      <name val="微软雅黑"/>
      <family val="2"/>
      <charset val="134"/>
    </font>
    <font>
      <sz val="11"/>
      <color rgb="FFC00000"/>
      <name val="Times New Roman"/>
      <family val="1"/>
    </font>
    <font>
      <b/>
      <sz val="10"/>
      <color theme="1" tint="0.249977111117893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/>
        <bgColor indexed="64"/>
      </patternFill>
    </fill>
  </fills>
  <borders count="12">
    <border>
      <left/>
      <right/>
      <top/>
      <bottom/>
      <diagonal/>
    </border>
    <border>
      <left/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/>
      <diagonal/>
    </border>
    <border>
      <left/>
      <right style="thin">
        <color theme="0" tint="-0.14993743705557422"/>
      </right>
      <top/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0" tint="-0.14993743705557422"/>
      </right>
      <top/>
      <bottom style="thin">
        <color theme="0" tint="-0.14993743705557422"/>
      </bottom>
      <diagonal/>
    </border>
    <border>
      <left/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/>
      <right/>
      <top style="thin">
        <color theme="4" tint="0.59996337778862885"/>
      </top>
      <bottom style="thin">
        <color theme="4" tint="0.59996337778862885"/>
      </bottom>
      <diagonal/>
    </border>
    <border>
      <left/>
      <right/>
      <top style="thin">
        <color theme="4" tint="0.79998168889431442"/>
      </top>
      <bottom style="thin">
        <color theme="4" tint="0.79998168889431442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>
      <alignment vertical="center"/>
    </xf>
  </cellStyleXfs>
  <cellXfs count="157">
    <xf numFmtId="0" fontId="0" fillId="0" borderId="0" xfId="0"/>
    <xf numFmtId="10" fontId="0" fillId="0" borderId="0" xfId="0" applyNumberFormat="1"/>
    <xf numFmtId="0" fontId="0" fillId="0" borderId="3" xfId="0" applyBorder="1"/>
    <xf numFmtId="0" fontId="0" fillId="0" borderId="4" xfId="0" applyBorder="1"/>
    <xf numFmtId="10" fontId="0" fillId="0" borderId="4" xfId="0" applyNumberFormat="1" applyBorder="1"/>
    <xf numFmtId="176" fontId="0" fillId="0" borderId="4" xfId="0" applyNumberFormat="1" applyBorder="1"/>
    <xf numFmtId="0" fontId="0" fillId="0" borderId="2" xfId="0" applyBorder="1" applyAlignment="1">
      <alignment vertical="center" wrapText="1"/>
    </xf>
    <xf numFmtId="9" fontId="0" fillId="0" borderId="4" xfId="0" applyNumberFormat="1" applyBorder="1"/>
    <xf numFmtId="177" fontId="0" fillId="0" borderId="4" xfId="0" applyNumberFormat="1" applyBorder="1"/>
    <xf numFmtId="0" fontId="2" fillId="0" borderId="1" xfId="0" applyFont="1" applyBorder="1" applyAlignment="1">
      <alignment vertical="center" wrapText="1"/>
    </xf>
    <xf numFmtId="178" fontId="0" fillId="0" borderId="2" xfId="0" applyNumberFormat="1" applyBorder="1" applyAlignment="1">
      <alignment vertical="center" wrapText="1"/>
    </xf>
    <xf numFmtId="178" fontId="0" fillId="0" borderId="4" xfId="0" applyNumberFormat="1" applyBorder="1"/>
    <xf numFmtId="0" fontId="0" fillId="0" borderId="0" xfId="0" applyAlignment="1">
      <alignment vertical="center" wrapText="1"/>
    </xf>
    <xf numFmtId="179" fontId="0" fillId="0" borderId="0" xfId="0" applyNumberFormat="1"/>
    <xf numFmtId="9" fontId="0" fillId="0" borderId="0" xfId="0" applyNumberFormat="1"/>
    <xf numFmtId="0" fontId="0" fillId="0" borderId="5" xfId="0" applyFill="1" applyBorder="1" applyAlignment="1">
      <alignment vertical="center" wrapText="1"/>
    </xf>
    <xf numFmtId="180" fontId="0" fillId="0" borderId="4" xfId="0" applyNumberFormat="1" applyBorder="1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wrapText="1"/>
    </xf>
    <xf numFmtId="181" fontId="0" fillId="0" borderId="4" xfId="0" applyNumberFormat="1" applyBorder="1"/>
    <xf numFmtId="0" fontId="3" fillId="0" borderId="3" xfId="0" applyFont="1" applyBorder="1"/>
    <xf numFmtId="0" fontId="3" fillId="0" borderId="4" xfId="0" applyFont="1" applyBorder="1"/>
    <xf numFmtId="0" fontId="0" fillId="0" borderId="4" xfId="0" applyBorder="1" applyAlignment="1">
      <alignment wrapText="1"/>
    </xf>
    <xf numFmtId="0" fontId="0" fillId="0" borderId="4" xfId="0" applyFont="1" applyBorder="1"/>
    <xf numFmtId="179" fontId="0" fillId="0" borderId="4" xfId="0" applyNumberFormat="1" applyBorder="1"/>
    <xf numFmtId="180" fontId="0" fillId="0" borderId="3" xfId="0" applyNumberFormat="1" applyBorder="1"/>
    <xf numFmtId="0" fontId="2" fillId="0" borderId="6" xfId="0" applyFont="1" applyBorder="1" applyAlignment="1">
      <alignment vertical="center" wrapText="1"/>
    </xf>
    <xf numFmtId="0" fontId="0" fillId="0" borderId="7" xfId="0" applyBorder="1"/>
    <xf numFmtId="0" fontId="0" fillId="0" borderId="8" xfId="0" applyBorder="1" applyAlignment="1">
      <alignment vertical="center" wrapText="1"/>
    </xf>
    <xf numFmtId="10" fontId="0" fillId="0" borderId="9" xfId="0" applyNumberFormat="1" applyBorder="1"/>
    <xf numFmtId="0" fontId="0" fillId="0" borderId="9" xfId="0" applyBorder="1"/>
    <xf numFmtId="178" fontId="0" fillId="0" borderId="8" xfId="0" applyNumberFormat="1" applyBorder="1" applyAlignment="1">
      <alignment vertical="center" wrapText="1"/>
    </xf>
    <xf numFmtId="178" fontId="0" fillId="0" borderId="9" xfId="0" applyNumberFormat="1" applyBorder="1"/>
    <xf numFmtId="176" fontId="0" fillId="0" borderId="9" xfId="0" applyNumberFormat="1" applyBorder="1"/>
    <xf numFmtId="177" fontId="0" fillId="0" borderId="9" xfId="0" applyNumberFormat="1" applyBorder="1"/>
    <xf numFmtId="9" fontId="0" fillId="0" borderId="9" xfId="0" applyNumberFormat="1" applyBorder="1"/>
    <xf numFmtId="0" fontId="0" fillId="0" borderId="8" xfId="0" applyBorder="1"/>
    <xf numFmtId="9" fontId="0" fillId="0" borderId="3" xfId="1" applyFont="1" applyBorder="1" applyAlignment="1"/>
    <xf numFmtId="177" fontId="0" fillId="0" borderId="4" xfId="1" applyNumberFormat="1" applyFont="1" applyBorder="1" applyAlignment="1"/>
    <xf numFmtId="9" fontId="0" fillId="0" borderId="4" xfId="1" applyFont="1" applyBorder="1" applyAlignment="1"/>
    <xf numFmtId="0" fontId="5" fillId="0" borderId="4" xfId="0" applyFont="1" applyBorder="1"/>
    <xf numFmtId="0" fontId="0" fillId="0" borderId="4" xfId="0" applyBorder="1" applyAlignment="1">
      <alignment vertical="center"/>
    </xf>
    <xf numFmtId="0" fontId="0" fillId="2" borderId="10" xfId="0" applyFill="1" applyBorder="1"/>
    <xf numFmtId="10" fontId="0" fillId="2" borderId="10" xfId="0" applyNumberFormat="1" applyFill="1" applyBorder="1"/>
    <xf numFmtId="178" fontId="0" fillId="2" borderId="10" xfId="0" applyNumberFormat="1" applyFill="1" applyBorder="1"/>
    <xf numFmtId="180" fontId="0" fillId="2" borderId="10" xfId="0" applyNumberFormat="1" applyFill="1" applyBorder="1"/>
    <xf numFmtId="176" fontId="0" fillId="2" borderId="10" xfId="0" applyNumberFormat="1" applyFill="1" applyBorder="1"/>
    <xf numFmtId="0" fontId="9" fillId="2" borderId="10" xfId="0" applyFont="1" applyFill="1" applyBorder="1"/>
    <xf numFmtId="0" fontId="0" fillId="2" borderId="10" xfId="0" applyFill="1" applyBorder="1" applyAlignment="1">
      <alignment horizontal="right"/>
    </xf>
    <xf numFmtId="0" fontId="0" fillId="2" borderId="10" xfId="0" applyFill="1" applyBorder="1" applyAlignment="1">
      <alignment vertical="center"/>
    </xf>
    <xf numFmtId="0" fontId="10" fillId="3" borderId="10" xfId="0" applyFont="1" applyFill="1" applyBorder="1" applyAlignment="1">
      <alignment vertical="center"/>
    </xf>
    <xf numFmtId="0" fontId="10" fillId="3" borderId="10" xfId="0" applyFont="1" applyFill="1" applyBorder="1" applyAlignment="1">
      <alignment horizontal="right" vertical="center"/>
    </xf>
    <xf numFmtId="9" fontId="0" fillId="2" borderId="10" xfId="0" applyNumberFormat="1" applyFill="1" applyBorder="1"/>
    <xf numFmtId="0" fontId="10" fillId="4" borderId="10" xfId="0" applyFont="1" applyFill="1" applyBorder="1" applyAlignment="1">
      <alignment vertical="center"/>
    </xf>
    <xf numFmtId="181" fontId="0" fillId="2" borderId="10" xfId="0" applyNumberFormat="1" applyFill="1" applyBorder="1" applyAlignment="1">
      <alignment vertical="center"/>
    </xf>
    <xf numFmtId="9" fontId="0" fillId="2" borderId="10" xfId="0" applyNumberFormat="1" applyFill="1" applyBorder="1" applyAlignment="1">
      <alignment vertical="center"/>
    </xf>
    <xf numFmtId="10" fontId="0" fillId="2" borderId="10" xfId="0" applyNumberFormat="1" applyFill="1" applyBorder="1" applyAlignment="1">
      <alignment vertical="center"/>
    </xf>
    <xf numFmtId="0" fontId="11" fillId="2" borderId="10" xfId="0" applyFont="1" applyFill="1" applyBorder="1" applyAlignment="1">
      <alignment vertical="center"/>
    </xf>
    <xf numFmtId="181" fontId="11" fillId="2" borderId="10" xfId="0" applyNumberFormat="1" applyFont="1" applyFill="1" applyBorder="1" applyAlignment="1">
      <alignment vertical="center"/>
    </xf>
    <xf numFmtId="9" fontId="11" fillId="2" borderId="10" xfId="0" applyNumberFormat="1" applyFont="1" applyFill="1" applyBorder="1" applyAlignment="1">
      <alignment vertical="center"/>
    </xf>
    <xf numFmtId="10" fontId="11" fillId="2" borderId="10" xfId="0" applyNumberFormat="1" applyFont="1" applyFill="1" applyBorder="1" applyAlignment="1">
      <alignment vertical="center"/>
    </xf>
    <xf numFmtId="0" fontId="12" fillId="4" borderId="10" xfId="0" applyFont="1" applyFill="1" applyBorder="1" applyAlignment="1">
      <alignment vertical="center"/>
    </xf>
    <xf numFmtId="0" fontId="13" fillId="2" borderId="10" xfId="0" applyFont="1" applyFill="1" applyBorder="1" applyAlignment="1">
      <alignment vertical="center"/>
    </xf>
    <xf numFmtId="0" fontId="13" fillId="2" borderId="10" xfId="0" applyFont="1" applyFill="1" applyBorder="1" applyAlignment="1">
      <alignment vertical="center" wrapText="1"/>
    </xf>
    <xf numFmtId="181" fontId="13" fillId="2" borderId="10" xfId="0" applyNumberFormat="1" applyFont="1" applyFill="1" applyBorder="1" applyAlignment="1">
      <alignment vertical="center"/>
    </xf>
    <xf numFmtId="9" fontId="13" fillId="2" borderId="10" xfId="0" applyNumberFormat="1" applyFont="1" applyFill="1" applyBorder="1" applyAlignment="1">
      <alignment vertical="center"/>
    </xf>
    <xf numFmtId="10" fontId="13" fillId="2" borderId="10" xfId="0" applyNumberFormat="1" applyFont="1" applyFill="1" applyBorder="1" applyAlignment="1">
      <alignment vertical="center"/>
    </xf>
    <xf numFmtId="0" fontId="13" fillId="2" borderId="10" xfId="0" applyFont="1" applyFill="1" applyBorder="1"/>
    <xf numFmtId="10" fontId="10" fillId="3" borderId="10" xfId="0" applyNumberFormat="1" applyFont="1" applyFill="1" applyBorder="1" applyAlignment="1">
      <alignment vertical="center"/>
    </xf>
    <xf numFmtId="178" fontId="10" fillId="3" borderId="10" xfId="0" applyNumberFormat="1" applyFont="1" applyFill="1" applyBorder="1" applyAlignment="1">
      <alignment vertical="center"/>
    </xf>
    <xf numFmtId="180" fontId="10" fillId="3" borderId="10" xfId="0" applyNumberFormat="1" applyFont="1" applyFill="1" applyBorder="1" applyAlignment="1">
      <alignment vertical="center"/>
    </xf>
    <xf numFmtId="0" fontId="12" fillId="3" borderId="10" xfId="0" applyFont="1" applyFill="1" applyBorder="1" applyAlignment="1">
      <alignment vertical="center" wrapText="1"/>
    </xf>
    <xf numFmtId="178" fontId="13" fillId="2" borderId="10" xfId="0" applyNumberFormat="1" applyFont="1" applyFill="1" applyBorder="1" applyAlignment="1">
      <alignment vertical="center" wrapText="1"/>
    </xf>
    <xf numFmtId="180" fontId="13" fillId="2" borderId="10" xfId="0" applyNumberFormat="1" applyFont="1" applyFill="1" applyBorder="1" applyAlignment="1">
      <alignment vertical="center" wrapText="1"/>
    </xf>
    <xf numFmtId="0" fontId="15" fillId="2" borderId="10" xfId="0" applyFont="1" applyFill="1" applyBorder="1"/>
    <xf numFmtId="10" fontId="11" fillId="2" borderId="10" xfId="0" applyNumberFormat="1" applyFont="1" applyFill="1" applyBorder="1" applyAlignment="1">
      <alignment horizontal="right"/>
    </xf>
    <xf numFmtId="10" fontId="11" fillId="2" borderId="10" xfId="0" applyNumberFormat="1" applyFont="1" applyFill="1" applyBorder="1"/>
    <xf numFmtId="178" fontId="11" fillId="2" borderId="10" xfId="0" applyNumberFormat="1" applyFont="1" applyFill="1" applyBorder="1"/>
    <xf numFmtId="180" fontId="11" fillId="2" borderId="10" xfId="0" applyNumberFormat="1" applyFont="1" applyFill="1" applyBorder="1"/>
    <xf numFmtId="0" fontId="11" fillId="2" borderId="10" xfId="0" applyFont="1" applyFill="1" applyBorder="1"/>
    <xf numFmtId="178" fontId="11" fillId="2" borderId="10" xfId="0" applyNumberFormat="1" applyFont="1" applyFill="1" applyBorder="1" applyAlignment="1">
      <alignment horizontal="right"/>
    </xf>
    <xf numFmtId="0" fontId="11" fillId="2" borderId="10" xfId="0" applyFont="1" applyFill="1" applyBorder="1" applyAlignment="1">
      <alignment horizontal="right"/>
    </xf>
    <xf numFmtId="180" fontId="11" fillId="2" borderId="10" xfId="0" applyNumberFormat="1" applyFont="1" applyFill="1" applyBorder="1" applyAlignment="1">
      <alignment horizontal="right"/>
    </xf>
    <xf numFmtId="177" fontId="11" fillId="2" borderId="10" xfId="0" applyNumberFormat="1" applyFont="1" applyFill="1" applyBorder="1" applyAlignment="1">
      <alignment horizontal="right"/>
    </xf>
    <xf numFmtId="176" fontId="11" fillId="2" borderId="10" xfId="0" applyNumberFormat="1" applyFont="1" applyFill="1" applyBorder="1" applyAlignment="1">
      <alignment horizontal="right"/>
    </xf>
    <xf numFmtId="9" fontId="11" fillId="2" borderId="10" xfId="0" applyNumberFormat="1" applyFont="1" applyFill="1" applyBorder="1" applyAlignment="1">
      <alignment horizontal="right"/>
    </xf>
    <xf numFmtId="0" fontId="0" fillId="2" borderId="11" xfId="0" applyFill="1" applyBorder="1"/>
    <xf numFmtId="9" fontId="0" fillId="2" borderId="11" xfId="0" applyNumberFormat="1" applyFill="1" applyBorder="1"/>
    <xf numFmtId="182" fontId="0" fillId="2" borderId="11" xfId="0" applyNumberFormat="1" applyFill="1" applyBorder="1"/>
    <xf numFmtId="0" fontId="10" fillId="3" borderId="11" xfId="0" applyFont="1" applyFill="1" applyBorder="1" applyAlignment="1">
      <alignment vertical="center"/>
    </xf>
    <xf numFmtId="0" fontId="12" fillId="3" borderId="11" xfId="0" applyFont="1" applyFill="1" applyBorder="1" applyAlignment="1">
      <alignment vertical="center"/>
    </xf>
    <xf numFmtId="0" fontId="13" fillId="2" borderId="11" xfId="0" applyFont="1" applyFill="1" applyBorder="1"/>
    <xf numFmtId="0" fontId="16" fillId="2" borderId="11" xfId="0" applyFont="1" applyFill="1" applyBorder="1"/>
    <xf numFmtId="0" fontId="10" fillId="3" borderId="11" xfId="0" applyFont="1" applyFill="1" applyBorder="1" applyAlignment="1">
      <alignment horizontal="right" vertical="center"/>
    </xf>
    <xf numFmtId="0" fontId="0" fillId="2" borderId="11" xfId="0" applyFill="1" applyBorder="1" applyAlignment="1">
      <alignment horizontal="right" vertical="center"/>
    </xf>
    <xf numFmtId="10" fontId="0" fillId="2" borderId="11" xfId="0" applyNumberFormat="1" applyFill="1" applyBorder="1" applyAlignment="1">
      <alignment horizontal="right" vertical="center"/>
    </xf>
    <xf numFmtId="176" fontId="0" fillId="2" borderId="11" xfId="0" applyNumberFormat="1" applyFill="1" applyBorder="1" applyAlignment="1">
      <alignment horizontal="right" vertical="center"/>
    </xf>
    <xf numFmtId="9" fontId="0" fillId="2" borderId="11" xfId="0" applyNumberFormat="1" applyFill="1" applyBorder="1" applyAlignment="1">
      <alignment horizontal="right" vertical="center"/>
    </xf>
    <xf numFmtId="182" fontId="0" fillId="2" borderId="11" xfId="0" applyNumberFormat="1" applyFill="1" applyBorder="1" applyAlignment="1">
      <alignment horizontal="right" vertical="center"/>
    </xf>
    <xf numFmtId="178" fontId="0" fillId="2" borderId="11" xfId="0" applyNumberFormat="1" applyFill="1" applyBorder="1" applyAlignment="1">
      <alignment horizontal="right" vertical="center"/>
    </xf>
    <xf numFmtId="180" fontId="0" fillId="2" borderId="11" xfId="0" applyNumberFormat="1" applyFill="1" applyBorder="1" applyAlignment="1">
      <alignment horizontal="right" vertical="center"/>
    </xf>
    <xf numFmtId="0" fontId="10" fillId="3" borderId="10" xfId="0" applyFont="1" applyFill="1" applyBorder="1" applyAlignment="1">
      <alignment vertical="center" wrapText="1"/>
    </xf>
    <xf numFmtId="176" fontId="0" fillId="2" borderId="10" xfId="0" applyNumberFormat="1" applyFill="1" applyBorder="1" applyAlignment="1">
      <alignment vertical="center"/>
    </xf>
    <xf numFmtId="0" fontId="17" fillId="3" borderId="10" xfId="0" applyFont="1" applyFill="1" applyBorder="1" applyAlignment="1">
      <alignment vertical="center" wrapText="1"/>
    </xf>
    <xf numFmtId="176" fontId="13" fillId="2" borderId="10" xfId="0" applyNumberFormat="1" applyFont="1" applyFill="1" applyBorder="1" applyAlignment="1">
      <alignment vertical="center"/>
    </xf>
    <xf numFmtId="0" fontId="18" fillId="2" borderId="10" xfId="0" applyFont="1" applyFill="1" applyBorder="1" applyAlignment="1">
      <alignment vertical="center"/>
    </xf>
    <xf numFmtId="0" fontId="10" fillId="3" borderId="10" xfId="0" applyFont="1" applyFill="1" applyBorder="1" applyAlignment="1">
      <alignment horizontal="right" vertical="center" wrapText="1"/>
    </xf>
    <xf numFmtId="0" fontId="11" fillId="2" borderId="10" xfId="0" applyFont="1" applyFill="1" applyBorder="1" applyAlignment="1">
      <alignment horizontal="right" vertical="center"/>
    </xf>
    <xf numFmtId="10" fontId="11" fillId="2" borderId="10" xfId="0" applyNumberFormat="1" applyFont="1" applyFill="1" applyBorder="1" applyAlignment="1">
      <alignment horizontal="right" vertical="center"/>
    </xf>
    <xf numFmtId="176" fontId="11" fillId="2" borderId="10" xfId="0" applyNumberFormat="1" applyFont="1" applyFill="1" applyBorder="1" applyAlignment="1">
      <alignment horizontal="right" vertical="center"/>
    </xf>
    <xf numFmtId="0" fontId="0" fillId="2" borderId="10" xfId="0" applyFill="1" applyBorder="1" applyAlignment="1">
      <alignment horizontal="right" vertical="center"/>
    </xf>
    <xf numFmtId="0" fontId="20" fillId="3" borderId="10" xfId="0" applyFont="1" applyFill="1" applyBorder="1" applyAlignment="1">
      <alignment vertical="center"/>
    </xf>
    <xf numFmtId="176" fontId="11" fillId="2" borderId="10" xfId="0" applyNumberFormat="1" applyFont="1" applyFill="1" applyBorder="1" applyAlignment="1">
      <alignment vertical="center"/>
    </xf>
    <xf numFmtId="0" fontId="19" fillId="2" borderId="10" xfId="0" applyFont="1" applyFill="1" applyBorder="1" applyAlignment="1">
      <alignment vertical="center"/>
    </xf>
    <xf numFmtId="176" fontId="19" fillId="2" borderId="10" xfId="0" applyNumberFormat="1" applyFont="1" applyFill="1" applyBorder="1" applyAlignment="1">
      <alignment vertical="center"/>
    </xf>
    <xf numFmtId="4" fontId="11" fillId="2" borderId="10" xfId="0" applyNumberFormat="1" applyFont="1" applyFill="1" applyBorder="1" applyAlignment="1">
      <alignment vertical="center"/>
    </xf>
    <xf numFmtId="178" fontId="11" fillId="2" borderId="10" xfId="0" applyNumberFormat="1" applyFont="1" applyFill="1" applyBorder="1" applyAlignment="1">
      <alignment vertical="center"/>
    </xf>
    <xf numFmtId="0" fontId="20" fillId="3" borderId="11" xfId="0" applyFont="1" applyFill="1" applyBorder="1" applyAlignment="1">
      <alignment vertical="center"/>
    </xf>
    <xf numFmtId="0" fontId="11" fillId="2" borderId="11" xfId="0" applyFont="1" applyFill="1" applyBorder="1" applyAlignment="1">
      <alignment horizontal="right"/>
    </xf>
    <xf numFmtId="0" fontId="13" fillId="2" borderId="11" xfId="0" applyFont="1" applyFill="1" applyBorder="1" applyAlignment="1">
      <alignment vertical="center" wrapText="1"/>
    </xf>
    <xf numFmtId="0" fontId="11" fillId="2" borderId="11" xfId="0" applyFont="1" applyFill="1" applyBorder="1" applyAlignment="1">
      <alignment horizontal="right" vertical="center"/>
    </xf>
    <xf numFmtId="0" fontId="0" fillId="2" borderId="11" xfId="0" applyFill="1" applyBorder="1" applyAlignment="1">
      <alignment vertical="center"/>
    </xf>
    <xf numFmtId="176" fontId="13" fillId="2" borderId="11" xfId="0" applyNumberFormat="1" applyFont="1" applyFill="1" applyBorder="1" applyAlignment="1">
      <alignment vertical="center" wrapText="1"/>
    </xf>
    <xf numFmtId="176" fontId="11" fillId="2" borderId="11" xfId="0" applyNumberFormat="1" applyFont="1" applyFill="1" applyBorder="1" applyAlignment="1">
      <alignment horizontal="right" vertical="center"/>
    </xf>
    <xf numFmtId="176" fontId="0" fillId="2" borderId="11" xfId="0" applyNumberFormat="1" applyFill="1" applyBorder="1" applyAlignment="1">
      <alignment vertical="center"/>
    </xf>
    <xf numFmtId="10" fontId="11" fillId="2" borderId="11" xfId="0" applyNumberFormat="1" applyFont="1" applyFill="1" applyBorder="1" applyAlignment="1">
      <alignment horizontal="right"/>
    </xf>
    <xf numFmtId="181" fontId="11" fillId="2" borderId="11" xfId="0" applyNumberFormat="1" applyFont="1" applyFill="1" applyBorder="1" applyAlignment="1">
      <alignment horizontal="right"/>
    </xf>
    <xf numFmtId="178" fontId="13" fillId="2" borderId="11" xfId="0" applyNumberFormat="1" applyFont="1" applyFill="1" applyBorder="1"/>
    <xf numFmtId="178" fontId="11" fillId="2" borderId="11" xfId="0" applyNumberFormat="1" applyFont="1" applyFill="1" applyBorder="1" applyAlignment="1">
      <alignment horizontal="right"/>
    </xf>
    <xf numFmtId="178" fontId="0" fillId="2" borderId="11" xfId="0" applyNumberFormat="1" applyFill="1" applyBorder="1"/>
    <xf numFmtId="0" fontId="19" fillId="2" borderId="11" xfId="0" applyFont="1" applyFill="1" applyBorder="1" applyAlignment="1">
      <alignment horizontal="right"/>
    </xf>
    <xf numFmtId="0" fontId="14" fillId="2" borderId="11" xfId="0" applyFont="1" applyFill="1" applyBorder="1"/>
    <xf numFmtId="0" fontId="0" fillId="2" borderId="11" xfId="0" applyFill="1" applyBorder="1" applyAlignment="1">
      <alignment horizontal="right"/>
    </xf>
    <xf numFmtId="0" fontId="23" fillId="2" borderId="11" xfId="0" applyFont="1" applyFill="1" applyBorder="1" applyAlignment="1">
      <alignment vertical="center"/>
    </xf>
    <xf numFmtId="0" fontId="3" fillId="2" borderId="11" xfId="0" applyFont="1" applyFill="1" applyBorder="1" applyAlignment="1">
      <alignment vertical="center"/>
    </xf>
    <xf numFmtId="0" fontId="22" fillId="2" borderId="11" xfId="0" applyFont="1" applyFill="1" applyBorder="1" applyAlignment="1">
      <alignment vertical="center"/>
    </xf>
    <xf numFmtId="0" fontId="21" fillId="2" borderId="11" xfId="0" applyFont="1" applyFill="1" applyBorder="1" applyAlignment="1">
      <alignment vertical="center"/>
    </xf>
    <xf numFmtId="0" fontId="11" fillId="2" borderId="11" xfId="0" applyFont="1" applyFill="1" applyBorder="1" applyAlignment="1">
      <alignment vertical="center"/>
    </xf>
    <xf numFmtId="0" fontId="24" fillId="2" borderId="11" xfId="0" applyFont="1" applyFill="1" applyBorder="1" applyAlignment="1">
      <alignment vertical="center"/>
    </xf>
    <xf numFmtId="10" fontId="11" fillId="2" borderId="11" xfId="0" applyNumberFormat="1" applyFont="1" applyFill="1" applyBorder="1" applyAlignment="1">
      <alignment vertical="center"/>
    </xf>
    <xf numFmtId="176" fontId="11" fillId="2" borderId="11" xfId="0" applyNumberFormat="1" applyFont="1" applyFill="1" applyBorder="1" applyAlignment="1">
      <alignment vertical="center"/>
    </xf>
    <xf numFmtId="0" fontId="13" fillId="2" borderId="11" xfId="0" applyFont="1" applyFill="1" applyBorder="1" applyAlignment="1">
      <alignment vertical="center"/>
    </xf>
    <xf numFmtId="176" fontId="13" fillId="2" borderId="11" xfId="0" applyNumberFormat="1" applyFont="1" applyFill="1" applyBorder="1" applyAlignment="1">
      <alignment vertical="center"/>
    </xf>
    <xf numFmtId="180" fontId="0" fillId="2" borderId="11" xfId="0" applyNumberFormat="1" applyFill="1" applyBorder="1" applyAlignment="1">
      <alignment vertical="center"/>
    </xf>
    <xf numFmtId="0" fontId="25" fillId="2" borderId="11" xfId="0" applyFont="1" applyFill="1" applyBorder="1" applyAlignment="1">
      <alignment vertical="center"/>
    </xf>
    <xf numFmtId="180" fontId="25" fillId="2" borderId="11" xfId="0" applyNumberFormat="1" applyFont="1" applyFill="1" applyBorder="1" applyAlignment="1">
      <alignment vertical="center"/>
    </xf>
    <xf numFmtId="179" fontId="11" fillId="2" borderId="11" xfId="0" applyNumberFormat="1" applyFont="1" applyFill="1" applyBorder="1" applyAlignment="1">
      <alignment vertical="center"/>
    </xf>
    <xf numFmtId="177" fontId="11" fillId="2" borderId="11" xfId="0" applyNumberFormat="1" applyFont="1" applyFill="1" applyBorder="1" applyAlignment="1">
      <alignment vertical="center"/>
    </xf>
    <xf numFmtId="180" fontId="11" fillId="2" borderId="11" xfId="0" applyNumberFormat="1" applyFont="1" applyFill="1" applyBorder="1" applyAlignment="1">
      <alignment vertical="center"/>
    </xf>
    <xf numFmtId="10" fontId="5" fillId="0" borderId="4" xfId="0" applyNumberFormat="1" applyFont="1" applyBorder="1"/>
    <xf numFmtId="0" fontId="10" fillId="4" borderId="10" xfId="0" applyFont="1" applyFill="1" applyBorder="1" applyAlignment="1">
      <alignment horizontal="right" vertical="center"/>
    </xf>
    <xf numFmtId="178" fontId="13" fillId="2" borderId="10" xfId="0" applyNumberFormat="1" applyFont="1" applyFill="1" applyBorder="1" applyAlignment="1">
      <alignment vertical="center"/>
    </xf>
    <xf numFmtId="178" fontId="0" fillId="2" borderId="10" xfId="0" applyNumberFormat="1" applyFill="1" applyBorder="1" applyAlignment="1">
      <alignment vertical="center"/>
    </xf>
    <xf numFmtId="10" fontId="13" fillId="2" borderId="10" xfId="0" applyNumberFormat="1" applyFont="1" applyFill="1" applyBorder="1" applyAlignment="1">
      <alignment vertical="center" wrapText="1"/>
    </xf>
    <xf numFmtId="0" fontId="8" fillId="0" borderId="0" xfId="0" applyFont="1"/>
    <xf numFmtId="0" fontId="6" fillId="0" borderId="0" xfId="0" applyFont="1"/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DAF012-937E-4E5A-AAEA-A70CE007FE7F}">
  <dimension ref="A1:C5"/>
  <sheetViews>
    <sheetView workbookViewId="0">
      <selection activeCell="H22" sqref="H22"/>
    </sheetView>
  </sheetViews>
  <sheetFormatPr defaultRowHeight="14.25" x14ac:dyDescent="0.2"/>
  <cols>
    <col min="2" max="2" width="13.75" customWidth="1"/>
    <col min="3" max="3" width="14.25" customWidth="1"/>
    <col min="4" max="4" width="20.125" customWidth="1"/>
  </cols>
  <sheetData>
    <row r="1" spans="1:3" s="12" customFormat="1" ht="28.5" x14ac:dyDescent="0.2">
      <c r="A1" s="12" t="s">
        <v>0</v>
      </c>
      <c r="B1" s="12" t="s">
        <v>39</v>
      </c>
      <c r="C1" s="12" t="s">
        <v>38</v>
      </c>
    </row>
    <row r="2" spans="1:3" x14ac:dyDescent="0.2">
      <c r="A2" t="s">
        <v>1</v>
      </c>
      <c r="B2">
        <v>17.600000000000001</v>
      </c>
      <c r="C2">
        <v>17.399999999999999</v>
      </c>
    </row>
    <row r="3" spans="1:3" x14ac:dyDescent="0.2">
      <c r="A3" t="s">
        <v>2</v>
      </c>
      <c r="B3" s="13">
        <f>B2/1.026</f>
        <v>17.153996101364523</v>
      </c>
      <c r="C3" s="13">
        <f>C2/1.087</f>
        <v>16.007359705611776</v>
      </c>
    </row>
    <row r="4" spans="1:3" x14ac:dyDescent="0.2">
      <c r="A4" t="s">
        <v>3</v>
      </c>
      <c r="B4">
        <v>17.16</v>
      </c>
      <c r="C4">
        <v>14.99</v>
      </c>
    </row>
    <row r="5" spans="1:3" x14ac:dyDescent="0.2">
      <c r="A5" t="s">
        <v>4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8FEC0-D697-4B69-9287-A4E9D0F4A922}">
  <dimension ref="A1:F35"/>
  <sheetViews>
    <sheetView workbookViewId="0">
      <selection activeCell="A30" sqref="A30:XFD30"/>
    </sheetView>
  </sheetViews>
  <sheetFormatPr defaultRowHeight="14.25" x14ac:dyDescent="0.2"/>
  <cols>
    <col min="1" max="1" width="21.25" style="2" customWidth="1"/>
    <col min="2" max="16384" width="9" style="3"/>
  </cols>
  <sheetData>
    <row r="1" spans="1:5" s="18" customFormat="1" x14ac:dyDescent="0.2">
      <c r="A1" s="17" t="s">
        <v>248</v>
      </c>
      <c r="B1" s="18" t="s">
        <v>4</v>
      </c>
      <c r="C1" s="18" t="s">
        <v>3</v>
      </c>
      <c r="D1" s="18" t="s">
        <v>78</v>
      </c>
      <c r="E1" s="18" t="s">
        <v>79</v>
      </c>
    </row>
    <row r="2" spans="1:5" x14ac:dyDescent="0.2">
      <c r="A2" s="2" t="s">
        <v>5</v>
      </c>
      <c r="B2" s="4">
        <v>0.36099999999999999</v>
      </c>
      <c r="C2" s="4">
        <v>0.36199999999999999</v>
      </c>
      <c r="D2" s="4">
        <v>0.27800000000000002</v>
      </c>
      <c r="E2" s="4">
        <v>0.24199999999999999</v>
      </c>
    </row>
    <row r="3" spans="1:5" x14ac:dyDescent="0.2">
      <c r="A3" s="2" t="s">
        <v>10</v>
      </c>
      <c r="B3" s="3">
        <v>5009.6000000000004</v>
      </c>
      <c r="C3" s="3">
        <v>5513.4</v>
      </c>
      <c r="D3" s="3">
        <v>6010.6</v>
      </c>
      <c r="E3" s="3">
        <v>7232.5</v>
      </c>
    </row>
    <row r="4" spans="1:5" x14ac:dyDescent="0.2">
      <c r="A4" s="2" t="s">
        <v>249</v>
      </c>
      <c r="B4" s="3">
        <v>5029.8999999999996</v>
      </c>
      <c r="C4" s="3">
        <v>5243.5</v>
      </c>
      <c r="D4" s="3">
        <v>5846.3</v>
      </c>
      <c r="E4" s="3">
        <v>8085.6</v>
      </c>
    </row>
    <row r="5" spans="1:5" x14ac:dyDescent="0.2">
      <c r="A5" s="2" t="s">
        <v>210</v>
      </c>
      <c r="E5" s="3">
        <v>6531.6</v>
      </c>
    </row>
    <row r="6" spans="1:5" x14ac:dyDescent="0.2">
      <c r="A6" s="2" t="s">
        <v>65</v>
      </c>
      <c r="B6" s="3">
        <v>172.1</v>
      </c>
      <c r="C6" s="3">
        <v>180.9</v>
      </c>
      <c r="D6" s="3">
        <v>232.87</v>
      </c>
      <c r="E6" s="3">
        <v>319.62</v>
      </c>
    </row>
    <row r="7" spans="1:5" x14ac:dyDescent="0.2">
      <c r="A7" s="2" t="s">
        <v>66</v>
      </c>
      <c r="B7" s="3">
        <v>121.8</v>
      </c>
      <c r="C7" s="3">
        <v>148.1</v>
      </c>
      <c r="D7" s="3">
        <v>198.11</v>
      </c>
      <c r="E7" s="3">
        <v>210.64</v>
      </c>
    </row>
    <row r="8" spans="1:5" x14ac:dyDescent="0.2">
      <c r="A8" s="2" t="s">
        <v>36</v>
      </c>
      <c r="B8" s="3">
        <v>1147.72</v>
      </c>
      <c r="C8" s="3">
        <v>1329.95</v>
      </c>
      <c r="D8" s="3">
        <v>1457</v>
      </c>
      <c r="E8" s="3">
        <v>1469</v>
      </c>
    </row>
    <row r="9" spans="1:5" s="40" customFormat="1" x14ac:dyDescent="0.2">
      <c r="A9" s="38" t="s">
        <v>169</v>
      </c>
      <c r="B9" s="39">
        <v>7326</v>
      </c>
      <c r="C9" s="39">
        <v>6731</v>
      </c>
      <c r="D9" s="39">
        <v>7999</v>
      </c>
      <c r="E9" s="39">
        <v>7165</v>
      </c>
    </row>
    <row r="10" spans="1:5" x14ac:dyDescent="0.2">
      <c r="A10" s="2" t="s">
        <v>250</v>
      </c>
      <c r="B10" s="3">
        <v>3564</v>
      </c>
      <c r="C10" s="3">
        <v>3183</v>
      </c>
      <c r="D10" s="3">
        <v>3721</v>
      </c>
      <c r="E10" s="3">
        <v>3355</v>
      </c>
    </row>
    <row r="11" spans="1:5" s="16" customFormat="1" x14ac:dyDescent="0.2">
      <c r="A11" s="26" t="s">
        <v>251</v>
      </c>
      <c r="B11" s="16">
        <f>B9-B10</f>
        <v>3762</v>
      </c>
      <c r="C11" s="16">
        <f>C9-C10</f>
        <v>3548</v>
      </c>
      <c r="D11" s="16">
        <f>D9-D10</f>
        <v>4278</v>
      </c>
      <c r="E11" s="16">
        <f t="shared" ref="E11" si="0">E9-E10</f>
        <v>3810</v>
      </c>
    </row>
    <row r="12" spans="1:5" x14ac:dyDescent="0.2">
      <c r="A12" s="2" t="s">
        <v>273</v>
      </c>
      <c r="B12" s="4">
        <v>8.09E-2</v>
      </c>
      <c r="C12" s="4">
        <v>8.1799999999999998E-2</v>
      </c>
      <c r="D12" s="4">
        <v>8.9899999999999994E-2</v>
      </c>
      <c r="E12" s="4">
        <v>9.4899999999999998E-2</v>
      </c>
    </row>
    <row r="13" spans="1:5" x14ac:dyDescent="0.2">
      <c r="A13" s="2" t="s">
        <v>43</v>
      </c>
      <c r="B13" s="3">
        <f>444.43+45.11+38.25</f>
        <v>527.79</v>
      </c>
      <c r="C13" s="3">
        <f>483.81+51.05+10.97+33.44</f>
        <v>579.27</v>
      </c>
      <c r="D13" s="3">
        <f>513.95+132.75+37.7</f>
        <v>684.40000000000009</v>
      </c>
      <c r="E13" s="3">
        <f>585.25+198.76+33.21</f>
        <v>817.22</v>
      </c>
    </row>
    <row r="14" spans="1:5" x14ac:dyDescent="0.2">
      <c r="A14" s="2" t="s">
        <v>44</v>
      </c>
      <c r="B14" s="3">
        <v>450.53</v>
      </c>
      <c r="C14" s="3">
        <v>499.35</v>
      </c>
      <c r="D14" s="3">
        <v>509.24</v>
      </c>
      <c r="E14" s="3">
        <v>694.62</v>
      </c>
    </row>
    <row r="15" spans="1:5" x14ac:dyDescent="0.2">
      <c r="A15" s="2" t="s">
        <v>252</v>
      </c>
      <c r="B15" s="3">
        <v>31200</v>
      </c>
      <c r="C15" s="3">
        <v>30300</v>
      </c>
      <c r="D15" s="3">
        <v>24000</v>
      </c>
      <c r="E15" s="3">
        <v>23100</v>
      </c>
    </row>
    <row r="17" spans="1:6" x14ac:dyDescent="0.2">
      <c r="A17" s="2" t="s">
        <v>253</v>
      </c>
      <c r="B17" s="3">
        <v>226</v>
      </c>
      <c r="C17" s="3">
        <v>105</v>
      </c>
      <c r="D17" s="3">
        <v>153</v>
      </c>
      <c r="E17" s="3">
        <v>140</v>
      </c>
    </row>
    <row r="18" spans="1:6" x14ac:dyDescent="0.2">
      <c r="A18" s="2" t="s">
        <v>254</v>
      </c>
      <c r="B18" s="3">
        <v>12600</v>
      </c>
      <c r="C18" s="3">
        <v>4993</v>
      </c>
      <c r="D18" s="3">
        <v>6703</v>
      </c>
      <c r="E18" s="3">
        <v>6892</v>
      </c>
    </row>
    <row r="19" spans="1:6" x14ac:dyDescent="0.2">
      <c r="A19" s="2" t="s">
        <v>255</v>
      </c>
      <c r="B19" s="3">
        <v>1889</v>
      </c>
      <c r="C19" s="3">
        <v>1611</v>
      </c>
      <c r="D19" s="3">
        <v>2101</v>
      </c>
      <c r="E19" s="3">
        <v>1992</v>
      </c>
    </row>
    <row r="21" spans="1:6" x14ac:dyDescent="0.2">
      <c r="A21" s="2" t="s">
        <v>256</v>
      </c>
      <c r="B21" s="3">
        <v>766</v>
      </c>
      <c r="C21" s="3">
        <v>811</v>
      </c>
      <c r="D21" s="3">
        <v>876</v>
      </c>
      <c r="E21" s="3">
        <v>798</v>
      </c>
    </row>
    <row r="22" spans="1:6" x14ac:dyDescent="0.2">
      <c r="A22" s="2" t="s">
        <v>257</v>
      </c>
      <c r="B22" s="3">
        <v>5336</v>
      </c>
      <c r="C22" s="3">
        <v>4962</v>
      </c>
      <c r="D22" s="3">
        <v>5273</v>
      </c>
      <c r="E22" s="3">
        <v>4901</v>
      </c>
      <c r="F22" s="3">
        <f>E22*4.5</f>
        <v>22054.5</v>
      </c>
    </row>
    <row r="23" spans="1:6" hidden="1" x14ac:dyDescent="0.2">
      <c r="A23" s="2" t="s">
        <v>275</v>
      </c>
      <c r="B23" s="3">
        <v>31200</v>
      </c>
      <c r="C23" s="3">
        <v>30300</v>
      </c>
      <c r="D23" s="3">
        <v>29300</v>
      </c>
      <c r="E23" s="3">
        <v>23100</v>
      </c>
    </row>
    <row r="24" spans="1:6" x14ac:dyDescent="0.2">
      <c r="A24" s="2" t="s">
        <v>274</v>
      </c>
      <c r="B24" s="3">
        <v>1711</v>
      </c>
      <c r="C24" s="3">
        <v>1635</v>
      </c>
      <c r="D24" s="3">
        <v>1800</v>
      </c>
    </row>
    <row r="26" spans="1:6" x14ac:dyDescent="0.2">
      <c r="A26" s="2" t="s">
        <v>258</v>
      </c>
      <c r="B26" s="3">
        <v>9631</v>
      </c>
      <c r="C26" s="3">
        <v>7567</v>
      </c>
      <c r="D26" s="3">
        <v>6513</v>
      </c>
      <c r="E26" s="3">
        <v>8237</v>
      </c>
    </row>
    <row r="27" spans="1:6" x14ac:dyDescent="0.2">
      <c r="A27" s="2" t="s">
        <v>259</v>
      </c>
      <c r="B27" s="3">
        <v>13200</v>
      </c>
      <c r="C27" s="3">
        <v>13500</v>
      </c>
      <c r="D27" s="3">
        <v>12300</v>
      </c>
      <c r="E27" s="3">
        <v>13200</v>
      </c>
    </row>
    <row r="28" spans="1:6" x14ac:dyDescent="0.2">
      <c r="A28" s="2" t="s">
        <v>260</v>
      </c>
      <c r="B28" s="3">
        <v>4514</v>
      </c>
      <c r="C28" s="3">
        <v>7225</v>
      </c>
      <c r="D28" s="3">
        <v>7701</v>
      </c>
      <c r="E28" s="3">
        <v>7392</v>
      </c>
    </row>
    <row r="30" spans="1:6" x14ac:dyDescent="0.2">
      <c r="A30" s="2" t="s">
        <v>261</v>
      </c>
      <c r="B30" s="3" t="s">
        <v>262</v>
      </c>
    </row>
    <row r="31" spans="1:6" x14ac:dyDescent="0.2">
      <c r="A31" s="2" t="s">
        <v>263</v>
      </c>
      <c r="B31" s="3" t="s">
        <v>265</v>
      </c>
    </row>
    <row r="32" spans="1:6" x14ac:dyDescent="0.2">
      <c r="A32" s="2" t="s">
        <v>264</v>
      </c>
      <c r="B32" s="3" t="s">
        <v>266</v>
      </c>
    </row>
    <row r="33" spans="1:2" x14ac:dyDescent="0.2">
      <c r="A33" s="2" t="s">
        <v>267</v>
      </c>
      <c r="B33" s="3" t="s">
        <v>268</v>
      </c>
    </row>
    <row r="34" spans="1:2" x14ac:dyDescent="0.2">
      <c r="A34" s="2" t="s">
        <v>269</v>
      </c>
      <c r="B34" s="3" t="s">
        <v>270</v>
      </c>
    </row>
    <row r="35" spans="1:2" x14ac:dyDescent="0.2">
      <c r="A35" s="2" t="s">
        <v>271</v>
      </c>
      <c r="B35" s="3" t="s">
        <v>272</v>
      </c>
    </row>
  </sheetData>
  <phoneticPr fontId="1" type="noConversion"/>
  <conditionalFormatting sqref="A4:XFD4">
    <cfRule type="colorScale" priority="4">
      <colorScale>
        <cfvo type="min"/>
        <cfvo type="max"/>
        <color rgb="FFFFEF9C"/>
        <color rgb="FF63BE7B"/>
      </colorScale>
    </cfRule>
  </conditionalFormatting>
  <conditionalFormatting sqref="A18:XFD18">
    <cfRule type="colorScale" priority="3">
      <colorScale>
        <cfvo type="min"/>
        <cfvo type="max"/>
        <color rgb="FFFFEF9C"/>
        <color rgb="FF63BE7B"/>
      </colorScale>
    </cfRule>
  </conditionalFormatting>
  <conditionalFormatting sqref="A10:XFD10">
    <cfRule type="colorScale" priority="2">
      <colorScale>
        <cfvo type="min"/>
        <cfvo type="max"/>
        <color rgb="FFFFEF9C"/>
        <color rgb="FF63BE7B"/>
      </colorScale>
    </cfRule>
  </conditionalFormatting>
  <conditionalFormatting sqref="A13:XFD13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0" orientation="portrait" horizontalDpi="0" verticalDpi="0" copie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8AD63-B4BF-4910-BFC9-F631A368FC8E}">
  <dimension ref="A1:E35"/>
  <sheetViews>
    <sheetView workbookViewId="0">
      <selection activeCell="I22" sqref="I22"/>
    </sheetView>
  </sheetViews>
  <sheetFormatPr defaultRowHeight="14.25" x14ac:dyDescent="0.2"/>
  <cols>
    <col min="1" max="1" width="22.5" style="2" customWidth="1"/>
    <col min="2" max="16384" width="9" style="3"/>
  </cols>
  <sheetData>
    <row r="1" spans="1:5" s="18" customFormat="1" x14ac:dyDescent="0.2">
      <c r="A1" s="17" t="s">
        <v>276</v>
      </c>
      <c r="B1" s="18" t="s">
        <v>4</v>
      </c>
      <c r="C1" s="18" t="s">
        <v>3</v>
      </c>
      <c r="D1" s="18" t="s">
        <v>78</v>
      </c>
      <c r="E1" s="18" t="s">
        <v>79</v>
      </c>
    </row>
    <row r="2" spans="1:5" x14ac:dyDescent="0.2">
      <c r="A2" s="2" t="s">
        <v>278</v>
      </c>
      <c r="B2" s="3">
        <v>116.6</v>
      </c>
      <c r="C2" s="3">
        <v>174.5</v>
      </c>
      <c r="D2" s="3">
        <v>260.3</v>
      </c>
      <c r="E2" s="3">
        <v>356.4</v>
      </c>
    </row>
    <row r="3" spans="1:5" x14ac:dyDescent="0.2">
      <c r="A3" s="2" t="s">
        <v>283</v>
      </c>
      <c r="B3" s="3">
        <v>438.02</v>
      </c>
      <c r="C3" s="3">
        <v>568.36</v>
      </c>
      <c r="D3" s="3">
        <v>830.73</v>
      </c>
      <c r="E3" s="3">
        <v>1256.27</v>
      </c>
    </row>
    <row r="4" spans="1:5" x14ac:dyDescent="0.2">
      <c r="A4" s="2" t="s">
        <v>65</v>
      </c>
      <c r="B4" s="3">
        <v>34.19</v>
      </c>
      <c r="C4" s="3">
        <v>43.6</v>
      </c>
      <c r="D4" s="3">
        <v>61.66</v>
      </c>
      <c r="E4" s="3">
        <v>80.44</v>
      </c>
    </row>
    <row r="5" spans="1:5" x14ac:dyDescent="0.2">
      <c r="A5" s="2" t="s">
        <v>66</v>
      </c>
      <c r="B5" s="3">
        <v>35.35</v>
      </c>
      <c r="C5" s="3">
        <v>73.56</v>
      </c>
      <c r="D5" s="3">
        <v>82.86</v>
      </c>
      <c r="E5" s="3">
        <v>84.74</v>
      </c>
    </row>
    <row r="7" spans="1:5" x14ac:dyDescent="0.2">
      <c r="A7" s="2" t="s">
        <v>277</v>
      </c>
      <c r="B7" s="25">
        <f>C7/1.273</f>
        <v>3620.0314218381777</v>
      </c>
      <c r="C7" s="3">
        <v>4608.3</v>
      </c>
      <c r="D7" s="3">
        <v>5562.1</v>
      </c>
      <c r="E7" s="3">
        <v>5752.6</v>
      </c>
    </row>
    <row r="8" spans="1:5" x14ac:dyDescent="0.2">
      <c r="A8" s="2" t="s">
        <v>239</v>
      </c>
      <c r="B8" s="25">
        <v>2203.3000000000002</v>
      </c>
      <c r="C8" s="41">
        <v>3020</v>
      </c>
      <c r="D8" s="41">
        <v>3616</v>
      </c>
      <c r="E8" s="41">
        <v>3937</v>
      </c>
    </row>
    <row r="9" spans="1:5" x14ac:dyDescent="0.2">
      <c r="A9" s="2" t="s">
        <v>247</v>
      </c>
      <c r="B9" s="25">
        <f>B7/B8*10000</f>
        <v>16430.043216258236</v>
      </c>
      <c r="C9" s="25">
        <f t="shared" ref="C9:E9" si="0">C7/C8*10000</f>
        <v>15259.271523178808</v>
      </c>
      <c r="D9" s="25">
        <f t="shared" si="0"/>
        <v>15381.913716814159</v>
      </c>
      <c r="E9" s="25">
        <f t="shared" si="0"/>
        <v>14611.633223266446</v>
      </c>
    </row>
    <row r="10" spans="1:5" x14ac:dyDescent="0.2">
      <c r="B10" s="25"/>
      <c r="C10" s="25"/>
      <c r="D10" s="25"/>
      <c r="E10" s="25"/>
    </row>
    <row r="11" spans="1:5" x14ac:dyDescent="0.2">
      <c r="A11" s="2" t="s">
        <v>284</v>
      </c>
      <c r="B11" s="3">
        <v>2192.6999999999998</v>
      </c>
      <c r="C11" s="3">
        <v>2294.1</v>
      </c>
      <c r="D11" s="3">
        <v>3222.74</v>
      </c>
      <c r="E11" s="3">
        <v>3034.38</v>
      </c>
    </row>
    <row r="12" spans="1:5" x14ac:dyDescent="0.2">
      <c r="A12" s="2" t="s">
        <v>170</v>
      </c>
      <c r="B12" s="3">
        <v>786.72</v>
      </c>
      <c r="C12" s="3">
        <v>920.45</v>
      </c>
      <c r="D12" s="3">
        <v>1357.32</v>
      </c>
      <c r="E12" s="3">
        <v>916.07</v>
      </c>
    </row>
    <row r="13" spans="1:5" x14ac:dyDescent="0.2">
      <c r="A13" s="2" t="s">
        <v>171</v>
      </c>
      <c r="B13" s="3">
        <v>1405.97</v>
      </c>
      <c r="C13" s="3">
        <v>1373.63</v>
      </c>
      <c r="D13" s="3">
        <v>1865.52</v>
      </c>
      <c r="E13" s="3">
        <v>2118.31</v>
      </c>
    </row>
    <row r="14" spans="1:5" x14ac:dyDescent="0.2">
      <c r="A14" s="2" t="s">
        <v>285</v>
      </c>
      <c r="B14" s="3">
        <v>110.9</v>
      </c>
      <c r="C14" s="3">
        <v>146.22999999999999</v>
      </c>
      <c r="D14" s="3">
        <v>259.55</v>
      </c>
      <c r="E14" s="3">
        <v>288.98</v>
      </c>
    </row>
    <row r="15" spans="1:5" x14ac:dyDescent="0.2">
      <c r="A15" s="2" t="s">
        <v>44</v>
      </c>
      <c r="B15" s="3">
        <v>57.48</v>
      </c>
      <c r="C15" s="3">
        <v>129.36000000000001</v>
      </c>
      <c r="D15" s="3">
        <v>220.87</v>
      </c>
      <c r="E15" s="3">
        <v>278.01</v>
      </c>
    </row>
    <row r="16" spans="1:5" x14ac:dyDescent="0.2">
      <c r="A16" s="2" t="s">
        <v>291</v>
      </c>
      <c r="B16" s="4">
        <v>6.2399999999999997E-2</v>
      </c>
      <c r="C16" s="4">
        <v>6.8099999999999994E-2</v>
      </c>
      <c r="D16" s="4">
        <v>8.5599999999999996E-2</v>
      </c>
    </row>
    <row r="18" spans="1:5" x14ac:dyDescent="0.2">
      <c r="A18" s="2" t="s">
        <v>286</v>
      </c>
      <c r="B18" s="3">
        <v>6764.2</v>
      </c>
      <c r="C18" s="3">
        <v>4820</v>
      </c>
      <c r="D18" s="3">
        <v>9970</v>
      </c>
      <c r="E18" s="3">
        <v>5877</v>
      </c>
    </row>
    <row r="19" spans="1:5" x14ac:dyDescent="0.2">
      <c r="A19" s="2" t="s">
        <v>293</v>
      </c>
      <c r="B19" s="3">
        <v>5252.5</v>
      </c>
      <c r="C19" s="3">
        <v>2631</v>
      </c>
      <c r="D19" s="3">
        <v>5558</v>
      </c>
    </row>
    <row r="20" spans="1:5" x14ac:dyDescent="0.2">
      <c r="A20" s="2" t="s">
        <v>294</v>
      </c>
      <c r="C20" s="3">
        <v>3723</v>
      </c>
    </row>
    <row r="21" spans="1:5" x14ac:dyDescent="0.2">
      <c r="A21" s="2" t="s">
        <v>287</v>
      </c>
      <c r="E21" s="3">
        <v>7261</v>
      </c>
    </row>
    <row r="23" spans="1:5" x14ac:dyDescent="0.2">
      <c r="A23" s="2" t="s">
        <v>292</v>
      </c>
      <c r="B23" s="3">
        <v>340</v>
      </c>
      <c r="C23" s="3">
        <v>459</v>
      </c>
      <c r="D23" s="3">
        <v>695</v>
      </c>
    </row>
    <row r="24" spans="1:5" x14ac:dyDescent="0.2">
      <c r="A24" s="2" t="s">
        <v>297</v>
      </c>
      <c r="B24" s="3">
        <v>14200</v>
      </c>
      <c r="C24" s="3">
        <v>16600</v>
      </c>
      <c r="D24" s="3">
        <v>23400</v>
      </c>
      <c r="E24" s="3">
        <v>25800</v>
      </c>
    </row>
    <row r="25" spans="1:5" x14ac:dyDescent="0.2">
      <c r="A25" s="2" t="s">
        <v>289</v>
      </c>
      <c r="B25" s="3">
        <v>10700</v>
      </c>
      <c r="C25" s="3">
        <v>11300</v>
      </c>
      <c r="D25" s="3">
        <v>15000</v>
      </c>
      <c r="E25" s="3">
        <v>16100</v>
      </c>
    </row>
    <row r="26" spans="1:5" x14ac:dyDescent="0.2">
      <c r="A26" s="2" t="s">
        <v>296</v>
      </c>
      <c r="D26" s="3">
        <v>30700</v>
      </c>
      <c r="E26" s="3">
        <v>31000</v>
      </c>
    </row>
    <row r="27" spans="1:5" x14ac:dyDescent="0.2">
      <c r="A27" s="2" t="s">
        <v>288</v>
      </c>
      <c r="D27" s="3">
        <v>4306</v>
      </c>
      <c r="E27" s="3">
        <v>4270</v>
      </c>
    </row>
    <row r="28" spans="1:5" x14ac:dyDescent="0.2">
      <c r="A28" s="2" t="s">
        <v>295</v>
      </c>
      <c r="B28" s="3">
        <v>6745</v>
      </c>
      <c r="C28" s="3">
        <v>7800</v>
      </c>
      <c r="D28" s="3">
        <v>8200</v>
      </c>
      <c r="E28" s="3">
        <v>9000</v>
      </c>
    </row>
    <row r="30" spans="1:5" x14ac:dyDescent="0.2">
      <c r="A30" s="2" t="s">
        <v>222</v>
      </c>
      <c r="B30" s="3">
        <v>22</v>
      </c>
      <c r="C30" s="3">
        <v>36.450000000000003</v>
      </c>
      <c r="D30" s="3">
        <v>57.26</v>
      </c>
      <c r="E30" s="3">
        <v>76.94</v>
      </c>
    </row>
    <row r="31" spans="1:5" x14ac:dyDescent="0.2">
      <c r="A31" s="2" t="s">
        <v>290</v>
      </c>
      <c r="B31" s="4">
        <v>0.224</v>
      </c>
      <c r="C31" s="4">
        <v>0.25900000000000001</v>
      </c>
      <c r="D31" s="4">
        <v>0.251</v>
      </c>
      <c r="E31" s="4">
        <v>0.193</v>
      </c>
    </row>
    <row r="33" spans="1:5" x14ac:dyDescent="0.2">
      <c r="A33" s="2" t="s">
        <v>18</v>
      </c>
      <c r="D33" s="20">
        <f>E33+76.3%</f>
        <v>1.7229999999999999</v>
      </c>
      <c r="E33" s="7">
        <v>0.96</v>
      </c>
    </row>
    <row r="34" spans="1:5" x14ac:dyDescent="0.2">
      <c r="A34" s="2" t="s">
        <v>279</v>
      </c>
      <c r="D34" s="3">
        <f>E34+0.51</f>
        <v>1.59</v>
      </c>
      <c r="E34" s="3">
        <v>1.08</v>
      </c>
    </row>
    <row r="35" spans="1:5" x14ac:dyDescent="0.2">
      <c r="A35" s="2" t="s">
        <v>280</v>
      </c>
      <c r="D35" s="20">
        <f>E35+5.6%</f>
        <v>0.83899999999999997</v>
      </c>
      <c r="E35" s="20">
        <v>0.78300000000000003</v>
      </c>
    </row>
  </sheetData>
  <phoneticPr fontId="1" type="noConversion"/>
  <conditionalFormatting sqref="A18:XFD18">
    <cfRule type="colorScale" priority="4">
      <colorScale>
        <cfvo type="min"/>
        <cfvo type="max"/>
        <color rgb="FFFFEF9C"/>
        <color rgb="FF63BE7B"/>
      </colorScale>
    </cfRule>
  </conditionalFormatting>
  <conditionalFormatting sqref="A8:XFD8">
    <cfRule type="colorScale" priority="3">
      <colorScale>
        <cfvo type="min"/>
        <cfvo type="max"/>
        <color rgb="FFFFEF9C"/>
        <color rgb="FF63BE7B"/>
      </colorScale>
    </cfRule>
  </conditionalFormatting>
  <conditionalFormatting sqref="B3:E3">
    <cfRule type="colorScale" priority="2">
      <colorScale>
        <cfvo type="min"/>
        <cfvo type="max"/>
        <color rgb="FFFFEF9C"/>
        <color rgb="FF63BE7B"/>
      </colorScale>
    </cfRule>
  </conditionalFormatting>
  <conditionalFormatting sqref="A12:XFD12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0" orientation="portrait" horizontalDpi="0" verticalDpi="0" copie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17B759-A533-405F-A9AC-D159C7A04FA7}">
  <dimension ref="A1:F58"/>
  <sheetViews>
    <sheetView workbookViewId="0">
      <pane ySplit="1" topLeftCell="A9" activePane="bottomLeft" state="frozen"/>
      <selection pane="bottomLeft" activeCell="I25" sqref="I25"/>
    </sheetView>
  </sheetViews>
  <sheetFormatPr defaultRowHeight="16.5" x14ac:dyDescent="0.2"/>
  <cols>
    <col min="1" max="1" width="26.625" style="106" customWidth="1"/>
    <col min="2" max="2" width="11.75" style="111" customWidth="1"/>
    <col min="3" max="3" width="10.625" style="111" customWidth="1"/>
    <col min="4" max="4" width="10.25" style="111" customWidth="1"/>
    <col min="5" max="5" width="9.875" style="111" customWidth="1"/>
    <col min="6" max="6" width="10.25" style="111" customWidth="1"/>
    <col min="7" max="16384" width="9" style="50"/>
  </cols>
  <sheetData>
    <row r="1" spans="1:6" s="102" customFormat="1" ht="22.5" customHeight="1" x14ac:dyDescent="0.2">
      <c r="A1" s="104" t="s">
        <v>102</v>
      </c>
      <c r="B1" s="107" t="s">
        <v>187</v>
      </c>
      <c r="C1" s="107" t="s">
        <v>139</v>
      </c>
      <c r="D1" s="107" t="s">
        <v>140</v>
      </c>
      <c r="E1" s="107" t="s">
        <v>141</v>
      </c>
      <c r="F1" s="107" t="s">
        <v>246</v>
      </c>
    </row>
    <row r="2" spans="1:6" ht="18" customHeight="1" x14ac:dyDescent="0.2">
      <c r="A2" s="63" t="s">
        <v>138</v>
      </c>
      <c r="B2" s="108">
        <v>1134.44</v>
      </c>
      <c r="C2" s="108">
        <v>1326.75</v>
      </c>
      <c r="D2" s="108">
        <v>1557.64</v>
      </c>
      <c r="E2" s="108">
        <v>1880.58</v>
      </c>
      <c r="F2" s="108">
        <v>2245.11</v>
      </c>
    </row>
    <row r="3" spans="1:6" ht="18" customHeight="1" x14ac:dyDescent="0.2">
      <c r="A3" s="63" t="s">
        <v>142</v>
      </c>
      <c r="B3" s="109">
        <v>0.25900000000000001</v>
      </c>
      <c r="C3" s="109">
        <v>8.8400000000000006E-2</v>
      </c>
      <c r="D3" s="109">
        <v>0.30890000000000001</v>
      </c>
      <c r="E3" s="109">
        <v>0.3387</v>
      </c>
      <c r="F3" s="109">
        <v>0.18090000000000001</v>
      </c>
    </row>
    <row r="4" spans="1:6" ht="18" customHeight="1" x14ac:dyDescent="0.2">
      <c r="A4" s="63" t="s">
        <v>144</v>
      </c>
      <c r="B4" s="108">
        <v>2053.3000000000002</v>
      </c>
      <c r="C4" s="108">
        <v>1980.5</v>
      </c>
      <c r="D4" s="108">
        <v>2191.4</v>
      </c>
      <c r="E4" s="108">
        <v>2460.3000000000002</v>
      </c>
      <c r="F4" s="108">
        <v>2889.4</v>
      </c>
    </row>
    <row r="5" spans="1:6" ht="18" customHeight="1" x14ac:dyDescent="0.2">
      <c r="A5" s="63" t="s">
        <v>146</v>
      </c>
      <c r="B5" s="108">
        <v>2341.4</v>
      </c>
      <c r="C5" s="108">
        <v>2330.1</v>
      </c>
      <c r="D5" s="108">
        <v>2846.2</v>
      </c>
      <c r="E5" s="108">
        <v>3340.4</v>
      </c>
      <c r="F5" s="108">
        <v>3774.2</v>
      </c>
    </row>
    <row r="6" spans="1:6" ht="18" customHeight="1" x14ac:dyDescent="0.2">
      <c r="A6" s="63" t="s">
        <v>147</v>
      </c>
      <c r="B6" s="108"/>
      <c r="C6" s="108">
        <v>11765</v>
      </c>
      <c r="D6" s="108">
        <v>12516</v>
      </c>
      <c r="E6" s="108">
        <v>13577</v>
      </c>
      <c r="F6" s="108">
        <v>13062</v>
      </c>
    </row>
    <row r="7" spans="1:6" ht="18" customHeight="1" x14ac:dyDescent="0.2">
      <c r="A7" s="63" t="s">
        <v>168</v>
      </c>
      <c r="B7" s="109">
        <v>0.19800000000000001</v>
      </c>
      <c r="C7" s="109">
        <v>0.25800000000000001</v>
      </c>
      <c r="D7" s="109">
        <v>0.29699999999999999</v>
      </c>
      <c r="E7" s="109">
        <v>0.27200000000000002</v>
      </c>
      <c r="F7" s="109">
        <v>0.22600000000000001</v>
      </c>
    </row>
    <row r="8" spans="1:6" ht="18" customHeight="1" x14ac:dyDescent="0.2">
      <c r="A8" s="63" t="s">
        <v>149</v>
      </c>
      <c r="B8" s="108">
        <v>2279.6999999999998</v>
      </c>
      <c r="C8" s="108">
        <v>1980.5</v>
      </c>
      <c r="D8" s="108">
        <v>3710.2</v>
      </c>
      <c r="E8" s="108">
        <v>4288.5</v>
      </c>
      <c r="F8" s="108">
        <v>4918.6000000000004</v>
      </c>
    </row>
    <row r="9" spans="1:6" ht="18" customHeight="1" x14ac:dyDescent="0.2">
      <c r="A9" s="63" t="s">
        <v>148</v>
      </c>
      <c r="B9" s="108">
        <v>2782.3</v>
      </c>
      <c r="C9" s="108">
        <v>2330.1</v>
      </c>
      <c r="D9" s="108">
        <v>5307.1</v>
      </c>
      <c r="E9" s="108">
        <v>6091</v>
      </c>
      <c r="F9" s="108">
        <v>6981.5</v>
      </c>
    </row>
    <row r="10" spans="1:6" ht="18" customHeight="1" x14ac:dyDescent="0.2">
      <c r="A10" s="63" t="s">
        <v>150</v>
      </c>
      <c r="B10" s="108">
        <v>3136.7</v>
      </c>
      <c r="C10" s="108">
        <v>3651.6</v>
      </c>
      <c r="D10" s="108">
        <v>4992.8</v>
      </c>
      <c r="E10" s="108">
        <v>4241.1000000000004</v>
      </c>
      <c r="F10" s="108">
        <v>3960.4</v>
      </c>
    </row>
    <row r="11" spans="1:6" ht="18" customHeight="1" x14ac:dyDescent="0.2">
      <c r="A11" s="63" t="s">
        <v>151</v>
      </c>
      <c r="B11" s="108">
        <v>2237.1999999999998</v>
      </c>
      <c r="C11" s="108">
        <v>2301.4</v>
      </c>
      <c r="D11" s="108">
        <v>2756.3</v>
      </c>
      <c r="E11" s="108">
        <v>3007.9</v>
      </c>
      <c r="F11" s="108">
        <v>3381.7</v>
      </c>
    </row>
    <row r="12" spans="1:6" ht="18" customHeight="1" x14ac:dyDescent="0.2">
      <c r="A12" s="63"/>
      <c r="B12" s="108"/>
      <c r="C12" s="108"/>
      <c r="D12" s="108"/>
      <c r="E12" s="108"/>
      <c r="F12" s="108"/>
    </row>
    <row r="13" spans="1:6" ht="18" customHeight="1" x14ac:dyDescent="0.2">
      <c r="A13" s="63" t="s">
        <v>143</v>
      </c>
      <c r="B13" s="108">
        <v>3647.7</v>
      </c>
      <c r="C13" s="108">
        <v>5298.8</v>
      </c>
      <c r="D13" s="108">
        <v>6069.5</v>
      </c>
      <c r="E13" s="108">
        <v>6308.4</v>
      </c>
      <c r="F13" s="108">
        <v>7041.5</v>
      </c>
    </row>
    <row r="14" spans="1:6" ht="18" customHeight="1" x14ac:dyDescent="0.2">
      <c r="A14" s="63" t="s">
        <v>145</v>
      </c>
      <c r="B14" s="108">
        <v>2765.4</v>
      </c>
      <c r="C14" s="108">
        <v>3595.2</v>
      </c>
      <c r="D14" s="108">
        <v>4037.7</v>
      </c>
      <c r="E14" s="108">
        <v>4112.2</v>
      </c>
      <c r="F14" s="108">
        <v>4667.5</v>
      </c>
    </row>
    <row r="15" spans="1:6" s="103" customFormat="1" ht="18" customHeight="1" x14ac:dyDescent="0.2">
      <c r="A15" s="105" t="s">
        <v>247</v>
      </c>
      <c r="B15" s="110">
        <f>B13/B14*10000</f>
        <v>13190.49685398134</v>
      </c>
      <c r="C15" s="110">
        <f t="shared" ref="C15:F15" si="0">C13/C14*10000</f>
        <v>14738.540275923455</v>
      </c>
      <c r="D15" s="110">
        <f t="shared" si="0"/>
        <v>15032.072714664291</v>
      </c>
      <c r="E15" s="110">
        <f t="shared" si="0"/>
        <v>15340.693546033752</v>
      </c>
      <c r="F15" s="110">
        <f t="shared" si="0"/>
        <v>15086.234600964115</v>
      </c>
    </row>
    <row r="16" spans="1:6" ht="18" customHeight="1" x14ac:dyDescent="0.2">
      <c r="A16" s="63" t="s">
        <v>152</v>
      </c>
      <c r="B16" s="108">
        <v>173</v>
      </c>
      <c r="C16" s="108">
        <v>216</v>
      </c>
      <c r="D16" s="108">
        <v>227</v>
      </c>
      <c r="E16" s="108">
        <v>147</v>
      </c>
      <c r="F16" s="108">
        <v>168</v>
      </c>
    </row>
    <row r="17" spans="1:6" ht="18" customHeight="1" x14ac:dyDescent="0.2">
      <c r="A17" s="63" t="s">
        <v>153</v>
      </c>
      <c r="B17" s="108">
        <v>3157.3</v>
      </c>
      <c r="C17" s="108">
        <v>4615.3999999999996</v>
      </c>
      <c r="D17" s="108">
        <v>4681.3999999999996</v>
      </c>
      <c r="E17" s="108">
        <v>3716.5</v>
      </c>
      <c r="F17" s="108">
        <v>3366.5</v>
      </c>
    </row>
    <row r="18" spans="1:6" ht="18" customHeight="1" x14ac:dyDescent="0.2">
      <c r="A18" s="63" t="s">
        <v>154</v>
      </c>
      <c r="B18" s="108">
        <v>1892.2</v>
      </c>
      <c r="C18" s="108">
        <v>2768.1</v>
      </c>
      <c r="D18" s="108">
        <v>2490.1999999999998</v>
      </c>
      <c r="E18" s="108">
        <v>2478.4</v>
      </c>
      <c r="F18" s="108">
        <v>2058.8000000000002</v>
      </c>
    </row>
    <row r="19" spans="1:6" ht="18" customHeight="1" x14ac:dyDescent="0.2">
      <c r="A19" s="63" t="s">
        <v>155</v>
      </c>
      <c r="B19" s="108"/>
      <c r="C19" s="108">
        <v>2188.9</v>
      </c>
      <c r="D19" s="108">
        <v>1351.4</v>
      </c>
      <c r="E19" s="108">
        <v>1549.6</v>
      </c>
      <c r="F19" s="108">
        <v>1381.5</v>
      </c>
    </row>
    <row r="20" spans="1:6" ht="18" customHeight="1" x14ac:dyDescent="0.2">
      <c r="A20" s="63" t="s">
        <v>156</v>
      </c>
      <c r="B20" s="108"/>
      <c r="C20" s="108">
        <v>7908</v>
      </c>
      <c r="D20" s="108">
        <v>5427</v>
      </c>
      <c r="E20" s="108">
        <v>6252</v>
      </c>
      <c r="F20" s="108">
        <v>6710</v>
      </c>
    </row>
    <row r="21" spans="1:6" ht="18" customHeight="1" x14ac:dyDescent="0.2">
      <c r="A21" s="63"/>
      <c r="B21" s="108"/>
      <c r="C21" s="108"/>
      <c r="D21" s="108"/>
      <c r="E21" s="108"/>
      <c r="F21" s="108"/>
    </row>
    <row r="22" spans="1:6" ht="18" customHeight="1" x14ac:dyDescent="0.2">
      <c r="A22" s="63" t="s">
        <v>157</v>
      </c>
      <c r="B22" s="108">
        <v>5442.4</v>
      </c>
      <c r="C22" s="108">
        <v>6852.8</v>
      </c>
      <c r="D22" s="108">
        <v>9012.7000000000007</v>
      </c>
      <c r="E22" s="108">
        <v>10256.1</v>
      </c>
      <c r="F22" s="108">
        <v>10787.6</v>
      </c>
    </row>
    <row r="23" spans="1:6" ht="18" customHeight="1" x14ac:dyDescent="0.2">
      <c r="A23" s="63" t="s">
        <v>158</v>
      </c>
      <c r="B23" s="108">
        <v>3622.2</v>
      </c>
      <c r="C23" s="108">
        <v>4374</v>
      </c>
      <c r="D23" s="108">
        <v>5402.1</v>
      </c>
      <c r="E23" s="108">
        <v>6170</v>
      </c>
      <c r="F23" s="108">
        <v>6380.8</v>
      </c>
    </row>
    <row r="24" spans="1:6" ht="18" customHeight="1" x14ac:dyDescent="0.2">
      <c r="A24" s="63" t="s">
        <v>159</v>
      </c>
      <c r="B24" s="108">
        <v>5296.9</v>
      </c>
      <c r="C24" s="108">
        <v>6321.9</v>
      </c>
      <c r="D24" s="108">
        <v>5936.2</v>
      </c>
      <c r="E24" s="108">
        <v>5394.3</v>
      </c>
      <c r="F24" s="108">
        <v>5050.8</v>
      </c>
    </row>
    <row r="25" spans="1:6" ht="18" customHeight="1" x14ac:dyDescent="0.2">
      <c r="A25" s="63" t="s">
        <v>160</v>
      </c>
      <c r="B25" s="108">
        <v>3655.9</v>
      </c>
      <c r="C25" s="108">
        <v>4077.9</v>
      </c>
      <c r="D25" s="108">
        <v>3579.6</v>
      </c>
      <c r="E25" s="108">
        <v>3360.2</v>
      </c>
      <c r="F25" s="108">
        <v>3127.4</v>
      </c>
    </row>
    <row r="26" spans="1:6" ht="18" customHeight="1" x14ac:dyDescent="0.2">
      <c r="A26" s="63" t="s">
        <v>161</v>
      </c>
      <c r="B26" s="108">
        <v>544.70000000000005</v>
      </c>
      <c r="C26" s="108">
        <v>289.10000000000002</v>
      </c>
      <c r="D26" s="108">
        <v>347.7</v>
      </c>
      <c r="E26" s="108">
        <v>492.9</v>
      </c>
      <c r="F26" s="108">
        <v>363.4</v>
      </c>
    </row>
    <row r="27" spans="1:6" ht="18" customHeight="1" x14ac:dyDescent="0.2">
      <c r="A27" s="63"/>
      <c r="B27" s="108"/>
      <c r="C27" s="108"/>
      <c r="D27" s="108"/>
      <c r="E27" s="108"/>
      <c r="F27" s="108"/>
    </row>
    <row r="28" spans="1:6" ht="18" customHeight="1" x14ac:dyDescent="0.2">
      <c r="A28" s="63" t="s">
        <v>182</v>
      </c>
      <c r="B28" s="108">
        <v>2923.6</v>
      </c>
      <c r="C28" s="108">
        <v>3545.1</v>
      </c>
      <c r="D28" s="108">
        <v>3609</v>
      </c>
      <c r="E28" s="108">
        <v>2921.2</v>
      </c>
      <c r="F28" s="108">
        <v>3148.4</v>
      </c>
    </row>
    <row r="29" spans="1:6" ht="18" customHeight="1" x14ac:dyDescent="0.2">
      <c r="A29" s="63" t="s">
        <v>183</v>
      </c>
      <c r="B29" s="108">
        <v>2448.3000000000002</v>
      </c>
      <c r="C29" s="108">
        <v>2630.5</v>
      </c>
      <c r="D29" s="108">
        <v>3076.6</v>
      </c>
      <c r="E29" s="108">
        <v>3319.3</v>
      </c>
      <c r="F29" s="108">
        <v>3587.5</v>
      </c>
    </row>
    <row r="30" spans="1:6" ht="18" customHeight="1" x14ac:dyDescent="0.2">
      <c r="A30" s="63"/>
      <c r="B30" s="108"/>
      <c r="C30" s="108"/>
      <c r="D30" s="108"/>
      <c r="E30" s="108"/>
      <c r="F30" s="108"/>
    </row>
    <row r="31" spans="1:6" ht="18" customHeight="1" x14ac:dyDescent="0.2">
      <c r="A31" s="63" t="s">
        <v>162</v>
      </c>
      <c r="B31" s="108"/>
      <c r="C31" s="108"/>
      <c r="D31" s="108"/>
      <c r="E31" s="108">
        <v>54.06</v>
      </c>
      <c r="F31" s="108"/>
    </row>
    <row r="32" spans="1:6" ht="18" customHeight="1" x14ac:dyDescent="0.2">
      <c r="A32" s="63" t="s">
        <v>163</v>
      </c>
      <c r="B32" s="108"/>
      <c r="C32" s="108"/>
      <c r="D32" s="108"/>
      <c r="E32" s="108">
        <v>10300</v>
      </c>
      <c r="F32" s="108"/>
    </row>
    <row r="33" spans="1:6" ht="18" customHeight="1" x14ac:dyDescent="0.2">
      <c r="A33" s="63" t="s">
        <v>164</v>
      </c>
      <c r="B33" s="108"/>
      <c r="C33" s="108"/>
      <c r="D33" s="108"/>
      <c r="E33" s="108">
        <v>33.39</v>
      </c>
      <c r="F33" s="108"/>
    </row>
    <row r="34" spans="1:6" ht="18" customHeight="1" x14ac:dyDescent="0.2">
      <c r="A34" s="63" t="s">
        <v>165</v>
      </c>
      <c r="B34" s="108"/>
      <c r="C34" s="108"/>
      <c r="D34" s="108"/>
      <c r="E34" s="108">
        <v>64000</v>
      </c>
      <c r="F34" s="108"/>
    </row>
    <row r="35" spans="1:6" ht="18" customHeight="1" x14ac:dyDescent="0.2">
      <c r="A35" s="63" t="s">
        <v>166</v>
      </c>
      <c r="B35" s="108"/>
      <c r="C35" s="108"/>
      <c r="D35" s="108"/>
      <c r="E35" s="108">
        <v>45000</v>
      </c>
      <c r="F35" s="108"/>
    </row>
    <row r="36" spans="1:6" ht="18" customHeight="1" x14ac:dyDescent="0.2">
      <c r="A36" s="63" t="s">
        <v>167</v>
      </c>
      <c r="B36" s="108"/>
      <c r="C36" s="108"/>
      <c r="D36" s="108"/>
      <c r="E36" s="108">
        <v>19000</v>
      </c>
      <c r="F36" s="108"/>
    </row>
    <row r="37" spans="1:6" ht="18" customHeight="1" x14ac:dyDescent="0.2">
      <c r="A37" s="63"/>
      <c r="B37" s="108"/>
      <c r="C37" s="108"/>
      <c r="D37" s="108"/>
      <c r="E37" s="108"/>
      <c r="F37" s="108"/>
    </row>
    <row r="38" spans="1:6" ht="18" customHeight="1" x14ac:dyDescent="0.2">
      <c r="A38" s="63" t="s">
        <v>184</v>
      </c>
      <c r="B38" s="108"/>
      <c r="C38" s="108"/>
      <c r="D38" s="108"/>
      <c r="E38" s="108"/>
      <c r="F38" s="108"/>
    </row>
    <row r="39" spans="1:6" ht="18" customHeight="1" x14ac:dyDescent="0.2">
      <c r="A39" s="63" t="s">
        <v>185</v>
      </c>
      <c r="B39" s="108"/>
      <c r="C39" s="108"/>
      <c r="D39" s="108">
        <v>120</v>
      </c>
      <c r="E39" s="108">
        <v>108</v>
      </c>
      <c r="F39" s="108"/>
    </row>
    <row r="40" spans="1:6" ht="18" customHeight="1" x14ac:dyDescent="0.2">
      <c r="A40" s="63" t="s">
        <v>186</v>
      </c>
      <c r="B40" s="108"/>
      <c r="C40" s="108"/>
      <c r="D40" s="108">
        <v>1000</v>
      </c>
      <c r="E40" s="108">
        <v>900</v>
      </c>
      <c r="F40" s="108"/>
    </row>
    <row r="41" spans="1:6" ht="18" customHeight="1" x14ac:dyDescent="0.2">
      <c r="A41" s="63"/>
      <c r="B41" s="108"/>
      <c r="C41" s="108"/>
      <c r="D41" s="108"/>
      <c r="E41" s="108"/>
      <c r="F41" s="108"/>
    </row>
    <row r="42" spans="1:6" ht="18" customHeight="1" x14ac:dyDescent="0.2">
      <c r="A42" s="63" t="s">
        <v>169</v>
      </c>
      <c r="B42" s="108">
        <v>1288.5999999999999</v>
      </c>
      <c r="C42" s="108">
        <v>1906.2</v>
      </c>
      <c r="D42" s="108">
        <v>2612.1</v>
      </c>
      <c r="E42" s="108">
        <v>2578.5</v>
      </c>
      <c r="F42" s="108">
        <v>2585.3000000000002</v>
      </c>
    </row>
    <row r="43" spans="1:6" ht="18" customHeight="1" x14ac:dyDescent="0.2">
      <c r="A43" s="63" t="s">
        <v>170</v>
      </c>
      <c r="B43" s="108">
        <v>433.5</v>
      </c>
      <c r="C43" s="108">
        <v>622.70000000000005</v>
      </c>
      <c r="D43" s="108">
        <v>931.8</v>
      </c>
      <c r="E43" s="108">
        <v>938.9</v>
      </c>
      <c r="F43" s="108">
        <v>829.1</v>
      </c>
    </row>
    <row r="44" spans="1:6" ht="18" customHeight="1" x14ac:dyDescent="0.2">
      <c r="A44" s="63" t="s">
        <v>171</v>
      </c>
      <c r="B44" s="108">
        <v>855.1</v>
      </c>
      <c r="C44" s="108">
        <v>1283.5</v>
      </c>
      <c r="D44" s="108">
        <v>1680.3</v>
      </c>
      <c r="E44" s="108">
        <v>1639.7</v>
      </c>
      <c r="F44" s="108">
        <v>1756.2</v>
      </c>
    </row>
    <row r="45" spans="1:6" ht="18" customHeight="1" x14ac:dyDescent="0.2">
      <c r="A45" s="63" t="s">
        <v>172</v>
      </c>
      <c r="B45" s="108">
        <v>32.299999999999997</v>
      </c>
      <c r="C45" s="108">
        <v>82.1</v>
      </c>
      <c r="D45" s="108">
        <v>141.5</v>
      </c>
      <c r="E45" s="108">
        <v>139.6</v>
      </c>
      <c r="F45" s="108">
        <v>158.4</v>
      </c>
    </row>
    <row r="46" spans="1:6" ht="18" customHeight="1" x14ac:dyDescent="0.2">
      <c r="A46" s="63" t="s">
        <v>173</v>
      </c>
      <c r="B46" s="108">
        <v>23.1</v>
      </c>
      <c r="C46" s="108">
        <v>41.5</v>
      </c>
      <c r="D46" s="108">
        <v>59.6</v>
      </c>
      <c r="E46" s="108">
        <v>56.9</v>
      </c>
      <c r="F46" s="108">
        <v>80.599999999999994</v>
      </c>
    </row>
    <row r="47" spans="1:6" ht="18" customHeight="1" x14ac:dyDescent="0.2">
      <c r="A47" s="63" t="s">
        <v>378</v>
      </c>
      <c r="B47" s="108">
        <v>111.69</v>
      </c>
      <c r="C47" s="108">
        <v>121.84</v>
      </c>
      <c r="D47" s="108">
        <v>146.79</v>
      </c>
      <c r="E47" s="108">
        <v>163</v>
      </c>
      <c r="F47" s="108">
        <v>189.95</v>
      </c>
    </row>
    <row r="48" spans="1:6" ht="18" customHeight="1" x14ac:dyDescent="0.2">
      <c r="A48" s="63" t="s">
        <v>412</v>
      </c>
      <c r="B48" s="108"/>
      <c r="C48" s="108">
        <f>B47+C46</f>
        <v>153.19</v>
      </c>
      <c r="D48" s="108">
        <f t="shared" ref="D48:F48" si="1">C47+D46</f>
        <v>181.44</v>
      </c>
      <c r="E48" s="108">
        <f t="shared" si="1"/>
        <v>203.69</v>
      </c>
      <c r="F48" s="108">
        <f t="shared" si="1"/>
        <v>243.6</v>
      </c>
    </row>
    <row r="49" spans="1:6" ht="18" customHeight="1" x14ac:dyDescent="0.2">
      <c r="A49" s="63" t="s">
        <v>411</v>
      </c>
      <c r="B49" s="108"/>
      <c r="C49" s="108">
        <f>C48-C47</f>
        <v>31.349999999999994</v>
      </c>
      <c r="D49" s="108">
        <f t="shared" ref="D49:F49" si="2">D48-D47</f>
        <v>34.650000000000006</v>
      </c>
      <c r="E49" s="108">
        <f t="shared" si="2"/>
        <v>40.69</v>
      </c>
      <c r="F49" s="108">
        <f t="shared" si="2"/>
        <v>53.650000000000006</v>
      </c>
    </row>
    <row r="50" spans="1:6" ht="18" customHeight="1" x14ac:dyDescent="0.2">
      <c r="A50" s="63"/>
      <c r="B50" s="108"/>
      <c r="C50" s="108"/>
      <c r="D50" s="108"/>
      <c r="E50" s="108"/>
      <c r="F50" s="108"/>
    </row>
    <row r="51" spans="1:6" ht="18" customHeight="1" x14ac:dyDescent="0.2">
      <c r="A51" s="63" t="s">
        <v>281</v>
      </c>
      <c r="B51" s="108">
        <v>51.61</v>
      </c>
      <c r="C51" s="108">
        <v>62.62</v>
      </c>
      <c r="D51" s="108">
        <v>78.680000000000007</v>
      </c>
      <c r="E51" s="108">
        <v>90.44</v>
      </c>
      <c r="F51" s="108">
        <v>106.37</v>
      </c>
    </row>
    <row r="52" spans="1:6" ht="18" customHeight="1" x14ac:dyDescent="0.2">
      <c r="A52" s="63" t="s">
        <v>282</v>
      </c>
      <c r="B52" s="108">
        <v>68.010000000000005</v>
      </c>
      <c r="C52" s="108">
        <v>82.52</v>
      </c>
      <c r="D52" s="108">
        <v>103.41</v>
      </c>
      <c r="E52" s="108">
        <v>110.18</v>
      </c>
      <c r="F52" s="108">
        <v>102.88</v>
      </c>
    </row>
    <row r="53" spans="1:6" ht="18" customHeight="1" x14ac:dyDescent="0.2">
      <c r="A53" s="63"/>
      <c r="B53" s="108"/>
      <c r="C53" s="108"/>
      <c r="D53" s="108"/>
      <c r="E53" s="108"/>
      <c r="F53" s="108"/>
    </row>
    <row r="54" spans="1:6" ht="18" customHeight="1" x14ac:dyDescent="0.2">
      <c r="A54" s="63" t="s">
        <v>174</v>
      </c>
      <c r="B54" s="108"/>
      <c r="C54" s="108"/>
      <c r="D54" s="108"/>
      <c r="E54" s="108"/>
      <c r="F54" s="108"/>
    </row>
    <row r="55" spans="1:6" ht="18" customHeight="1" x14ac:dyDescent="0.2">
      <c r="A55" s="63" t="s">
        <v>175</v>
      </c>
      <c r="B55" s="108" t="s">
        <v>177</v>
      </c>
      <c r="C55" s="108" t="s">
        <v>177</v>
      </c>
      <c r="D55" s="108" t="s">
        <v>177</v>
      </c>
      <c r="E55" s="108" t="s">
        <v>177</v>
      </c>
      <c r="F55" s="108" t="s">
        <v>177</v>
      </c>
    </row>
    <row r="56" spans="1:6" ht="18" customHeight="1" x14ac:dyDescent="0.2">
      <c r="A56" s="63" t="s">
        <v>176</v>
      </c>
      <c r="B56" s="108" t="s">
        <v>177</v>
      </c>
      <c r="C56" s="108" t="s">
        <v>177</v>
      </c>
      <c r="D56" s="108" t="s">
        <v>177</v>
      </c>
      <c r="E56" s="108" t="s">
        <v>177</v>
      </c>
      <c r="F56" s="108" t="s">
        <v>177</v>
      </c>
    </row>
    <row r="57" spans="1:6" ht="18" customHeight="1" x14ac:dyDescent="0.2">
      <c r="A57" s="63" t="s">
        <v>178</v>
      </c>
      <c r="B57" s="108" t="s">
        <v>179</v>
      </c>
      <c r="C57" s="108" t="s">
        <v>179</v>
      </c>
      <c r="D57" s="108" t="s">
        <v>179</v>
      </c>
      <c r="E57" s="108" t="s">
        <v>179</v>
      </c>
      <c r="F57" s="108" t="s">
        <v>179</v>
      </c>
    </row>
    <row r="58" spans="1:6" ht="18" customHeight="1" x14ac:dyDescent="0.2">
      <c r="A58" s="63" t="s">
        <v>180</v>
      </c>
      <c r="B58" s="108" t="s">
        <v>181</v>
      </c>
      <c r="C58" s="108" t="s">
        <v>181</v>
      </c>
      <c r="D58" s="108" t="s">
        <v>181</v>
      </c>
      <c r="E58" s="108" t="s">
        <v>181</v>
      </c>
      <c r="F58" s="108" t="s">
        <v>181</v>
      </c>
    </row>
  </sheetData>
  <phoneticPr fontId="1" type="noConversion"/>
  <conditionalFormatting sqref="A27:E27">
    <cfRule type="colorScale" priority="6">
      <colorScale>
        <cfvo type="min"/>
        <cfvo type="max"/>
        <color rgb="FFFFEF9C"/>
        <color rgb="FF63BE7B"/>
      </colorScale>
    </cfRule>
  </conditionalFormatting>
  <conditionalFormatting sqref="A27:XFD27">
    <cfRule type="colorScale" priority="5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0" orientation="portrait" horizontalDpi="0" verticalDpi="0" copie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89AFE-783D-4CBA-9642-A9BD7C271D87}">
  <dimension ref="A1:H53"/>
  <sheetViews>
    <sheetView workbookViewId="0">
      <selection activeCell="I37" sqref="I37"/>
    </sheetView>
  </sheetViews>
  <sheetFormatPr defaultRowHeight="16.5" x14ac:dyDescent="0.35"/>
  <cols>
    <col min="1" max="1" width="22.625" style="93" customWidth="1"/>
    <col min="2" max="2" width="9.875" style="95" customWidth="1"/>
    <col min="3" max="3" width="10" style="95" customWidth="1"/>
    <col min="4" max="4" width="10.25" style="95" customWidth="1"/>
    <col min="5" max="5" width="10.375" style="95" customWidth="1"/>
    <col min="6" max="6" width="10.125" style="95" customWidth="1"/>
    <col min="7" max="16384" width="9" style="87"/>
  </cols>
  <sheetData>
    <row r="1" spans="1:8" s="90" customFormat="1" ht="23.25" customHeight="1" x14ac:dyDescent="0.2">
      <c r="A1" s="91" t="s">
        <v>356</v>
      </c>
      <c r="B1" s="94" t="s">
        <v>187</v>
      </c>
      <c r="C1" s="94" t="s">
        <v>4</v>
      </c>
      <c r="D1" s="94" t="s">
        <v>77</v>
      </c>
      <c r="E1" s="94" t="s">
        <v>78</v>
      </c>
      <c r="F1" s="94" t="s">
        <v>79</v>
      </c>
    </row>
    <row r="2" spans="1:8" x14ac:dyDescent="0.35">
      <c r="A2" s="92" t="s">
        <v>138</v>
      </c>
      <c r="B2" s="95">
        <v>892.53</v>
      </c>
      <c r="C2" s="95">
        <v>1069.23</v>
      </c>
      <c r="D2" s="95">
        <v>1219.22</v>
      </c>
      <c r="E2" s="95">
        <v>1560.21</v>
      </c>
      <c r="F2" s="95">
        <v>1802.3</v>
      </c>
    </row>
    <row r="3" spans="1:8" x14ac:dyDescent="0.35">
      <c r="A3" s="92" t="s">
        <v>439</v>
      </c>
      <c r="B3" s="95">
        <v>288.49</v>
      </c>
      <c r="C3" s="95">
        <v>512.4</v>
      </c>
      <c r="D3" s="95">
        <v>645.72</v>
      </c>
      <c r="E3" s="95">
        <v>735</v>
      </c>
      <c r="F3" s="95">
        <v>864.07</v>
      </c>
    </row>
    <row r="4" spans="1:8" x14ac:dyDescent="0.35">
      <c r="A4" s="92" t="s">
        <v>440</v>
      </c>
      <c r="B4" s="96"/>
      <c r="C4" s="96">
        <f t="shared" ref="C4:E4" si="0">C5/((B2+C2)/2)</f>
        <v>0.15930592936954571</v>
      </c>
      <c r="D4" s="96">
        <f t="shared" si="0"/>
        <v>0.1652035220345649</v>
      </c>
      <c r="E4" s="96">
        <f t="shared" si="0"/>
        <v>0.20118513508165339</v>
      </c>
      <c r="F4" s="96">
        <f>F5/((E2+F2)/2)</f>
        <v>0.17218090057724736</v>
      </c>
    </row>
    <row r="5" spans="1:8" x14ac:dyDescent="0.35">
      <c r="A5" s="92" t="s">
        <v>436</v>
      </c>
      <c r="B5" s="95">
        <v>124.21</v>
      </c>
      <c r="C5" s="95">
        <v>156.26</v>
      </c>
      <c r="D5" s="95">
        <v>189.03</v>
      </c>
      <c r="E5" s="95">
        <v>279.58999999999997</v>
      </c>
      <c r="F5" s="95">
        <v>289.48</v>
      </c>
    </row>
    <row r="6" spans="1:8" x14ac:dyDescent="0.35">
      <c r="A6" s="92" t="s">
        <v>437</v>
      </c>
      <c r="B6" s="95">
        <v>37.35</v>
      </c>
      <c r="C6" s="95">
        <v>47.43</v>
      </c>
      <c r="D6" s="95">
        <v>59.47</v>
      </c>
      <c r="E6" s="95">
        <v>97.84</v>
      </c>
      <c r="F6" s="95">
        <v>87.37</v>
      </c>
    </row>
    <row r="7" spans="1:8" x14ac:dyDescent="0.35">
      <c r="A7" s="92" t="s">
        <v>438</v>
      </c>
      <c r="B7" s="96">
        <v>0.30070000000000002</v>
      </c>
      <c r="C7" s="96">
        <v>0.30359999999999998</v>
      </c>
      <c r="D7" s="96">
        <v>0.31459999999999999</v>
      </c>
      <c r="E7" s="98">
        <v>0.35</v>
      </c>
      <c r="F7" s="96">
        <v>0.30180000000000001</v>
      </c>
    </row>
    <row r="8" spans="1:8" x14ac:dyDescent="0.35">
      <c r="A8" s="92" t="s">
        <v>169</v>
      </c>
      <c r="B8" s="95">
        <v>1122</v>
      </c>
      <c r="C8" s="95">
        <v>2046</v>
      </c>
      <c r="D8" s="95">
        <v>2636.57</v>
      </c>
      <c r="E8" s="95">
        <v>2700.49</v>
      </c>
      <c r="F8" s="95">
        <v>2968.03</v>
      </c>
    </row>
    <row r="9" spans="1:8" x14ac:dyDescent="0.35">
      <c r="A9" s="92" t="s">
        <v>357</v>
      </c>
      <c r="B9" s="96">
        <v>4.6899999999999997E-2</v>
      </c>
      <c r="C9" s="96">
        <v>4.82E-2</v>
      </c>
      <c r="D9" s="96">
        <v>5.0299999999999997E-2</v>
      </c>
      <c r="E9" s="96">
        <v>4.9500000000000002E-2</v>
      </c>
      <c r="F9" s="96">
        <v>4.7699999999999999E-2</v>
      </c>
    </row>
    <row r="10" spans="1:8" x14ac:dyDescent="0.35">
      <c r="A10" s="92" t="s">
        <v>44</v>
      </c>
      <c r="B10" s="95">
        <v>44.92</v>
      </c>
      <c r="C10" s="95">
        <v>103.57</v>
      </c>
      <c r="D10" s="95">
        <v>94.04</v>
      </c>
      <c r="E10" s="97">
        <v>99.71</v>
      </c>
      <c r="F10" s="95">
        <v>100.83</v>
      </c>
    </row>
    <row r="11" spans="1:8" x14ac:dyDescent="0.35">
      <c r="A11" s="92" t="s">
        <v>216</v>
      </c>
      <c r="B11" s="95">
        <v>104.8</v>
      </c>
      <c r="C11" s="95">
        <v>103.57</v>
      </c>
      <c r="D11" s="95">
        <v>111.38</v>
      </c>
      <c r="E11" s="97">
        <v>122.68</v>
      </c>
      <c r="F11" s="95">
        <v>153.96</v>
      </c>
    </row>
    <row r="12" spans="1:8" x14ac:dyDescent="0.35">
      <c r="A12" s="92" t="s">
        <v>18</v>
      </c>
      <c r="B12" s="98">
        <v>0.55000000000000004</v>
      </c>
      <c r="C12" s="96">
        <v>0.86450000000000005</v>
      </c>
      <c r="D12" s="96">
        <v>0.80549999999999999</v>
      </c>
      <c r="E12" s="96">
        <v>0.56910000000000005</v>
      </c>
      <c r="F12" s="96">
        <v>0.5655</v>
      </c>
    </row>
    <row r="13" spans="1:8" hidden="1" x14ac:dyDescent="0.35">
      <c r="A13" s="92" t="s">
        <v>434</v>
      </c>
      <c r="B13" s="98"/>
      <c r="C13" s="96"/>
      <c r="D13" s="96"/>
      <c r="E13" s="96"/>
      <c r="F13" s="96">
        <v>0.68740000000000001</v>
      </c>
    </row>
    <row r="14" spans="1:8" hidden="1" x14ac:dyDescent="0.35">
      <c r="A14" s="92" t="s">
        <v>435</v>
      </c>
      <c r="B14" s="98"/>
      <c r="C14" s="96"/>
      <c r="D14" s="96"/>
      <c r="E14" s="96"/>
      <c r="F14" s="97">
        <v>1.82</v>
      </c>
    </row>
    <row r="15" spans="1:8" x14ac:dyDescent="0.35">
      <c r="A15" s="92" t="s">
        <v>65</v>
      </c>
      <c r="B15" s="99">
        <v>35.450000000000003</v>
      </c>
      <c r="C15" s="99">
        <v>38.83</v>
      </c>
      <c r="D15" s="99">
        <v>59.12</v>
      </c>
      <c r="E15" s="99">
        <v>66.81</v>
      </c>
      <c r="F15" s="99">
        <v>68.77</v>
      </c>
      <c r="G15" s="89"/>
      <c r="H15" s="89"/>
    </row>
    <row r="16" spans="1:8" x14ac:dyDescent="0.35">
      <c r="A16" s="92" t="s">
        <v>66</v>
      </c>
      <c r="B16" s="99">
        <v>22.67</v>
      </c>
      <c r="C16" s="99">
        <v>28.23</v>
      </c>
      <c r="D16" s="99">
        <v>34.950000000000003</v>
      </c>
      <c r="E16" s="99">
        <v>42.33</v>
      </c>
      <c r="F16" s="99">
        <v>43.15</v>
      </c>
      <c r="G16" s="89"/>
      <c r="H16" s="89"/>
    </row>
    <row r="17" spans="1:7" x14ac:dyDescent="0.35">
      <c r="A17" s="92"/>
      <c r="E17" s="97"/>
    </row>
    <row r="18" spans="1:7" x14ac:dyDescent="0.35">
      <c r="A18" s="92" t="s">
        <v>364</v>
      </c>
      <c r="B18" s="95">
        <v>2101</v>
      </c>
      <c r="C18" s="95">
        <v>3092</v>
      </c>
      <c r="D18" s="95">
        <v>4048.17</v>
      </c>
      <c r="E18" s="100">
        <v>4618.4799999999996</v>
      </c>
      <c r="F18" s="95">
        <v>5208.4799999999996</v>
      </c>
    </row>
    <row r="19" spans="1:7" x14ac:dyDescent="0.35">
      <c r="A19" s="92" t="s">
        <v>384</v>
      </c>
      <c r="C19" s="95">
        <v>2242</v>
      </c>
      <c r="D19" s="95">
        <v>2766.11</v>
      </c>
      <c r="E19" s="100">
        <v>3123.12</v>
      </c>
      <c r="F19" s="95">
        <v>3409.19</v>
      </c>
    </row>
    <row r="20" spans="1:7" x14ac:dyDescent="0.35">
      <c r="A20" s="92" t="s">
        <v>441</v>
      </c>
      <c r="C20" s="97">
        <f>C18/C19*10000</f>
        <v>13791.257805530777</v>
      </c>
      <c r="D20" s="97">
        <f t="shared" ref="D20:F20" si="1">D18/D19*10000</f>
        <v>14634.884368300609</v>
      </c>
      <c r="E20" s="97">
        <f t="shared" si="1"/>
        <v>14788.032480340173</v>
      </c>
      <c r="F20" s="97">
        <f t="shared" si="1"/>
        <v>15277.76392632854</v>
      </c>
    </row>
    <row r="21" spans="1:7" x14ac:dyDescent="0.35">
      <c r="A21" s="92" t="s">
        <v>380</v>
      </c>
      <c r="B21" s="98"/>
      <c r="C21" s="98">
        <v>0.7</v>
      </c>
      <c r="D21" s="98">
        <v>0.77</v>
      </c>
      <c r="E21" s="98">
        <v>0.77</v>
      </c>
      <c r="F21" s="98">
        <v>0.75</v>
      </c>
      <c r="G21" s="88"/>
    </row>
    <row r="22" spans="1:7" x14ac:dyDescent="0.35">
      <c r="A22" s="92" t="s">
        <v>358</v>
      </c>
      <c r="B22" s="95">
        <v>2041</v>
      </c>
      <c r="C22" s="95">
        <v>2644</v>
      </c>
      <c r="D22" s="95">
        <v>3562</v>
      </c>
      <c r="E22" s="95">
        <v>4312</v>
      </c>
      <c r="F22" s="95">
        <v>4706</v>
      </c>
    </row>
    <row r="23" spans="1:7" x14ac:dyDescent="0.35">
      <c r="A23" s="92" t="s">
        <v>379</v>
      </c>
      <c r="B23" s="98">
        <v>0.97</v>
      </c>
      <c r="C23" s="96">
        <v>0.85499999999999998</v>
      </c>
      <c r="D23" s="98">
        <v>0.88</v>
      </c>
      <c r="E23" s="98">
        <v>0.93</v>
      </c>
      <c r="F23" s="96">
        <v>0.93600000000000005</v>
      </c>
    </row>
    <row r="24" spans="1:7" x14ac:dyDescent="0.35">
      <c r="A24" s="92" t="s">
        <v>365</v>
      </c>
      <c r="D24" s="96">
        <v>2.7E-2</v>
      </c>
      <c r="E24" s="96">
        <v>2.8899999999999999E-2</v>
      </c>
      <c r="F24" s="96">
        <v>2.9000000000000001E-2</v>
      </c>
    </row>
    <row r="25" spans="1:7" x14ac:dyDescent="0.35">
      <c r="A25" s="92" t="s">
        <v>363</v>
      </c>
      <c r="C25" s="95">
        <v>528.29999999999995</v>
      </c>
      <c r="D25" s="95">
        <v>642.41</v>
      </c>
      <c r="E25" s="100">
        <v>883.66</v>
      </c>
      <c r="F25" s="95">
        <v>1205</v>
      </c>
    </row>
    <row r="26" spans="1:7" x14ac:dyDescent="0.35">
      <c r="A26" s="92"/>
      <c r="E26" s="100"/>
    </row>
    <row r="27" spans="1:7" x14ac:dyDescent="0.35">
      <c r="A27" s="92" t="s">
        <v>30</v>
      </c>
      <c r="B27" s="95">
        <v>112</v>
      </c>
      <c r="C27" s="95">
        <v>204</v>
      </c>
      <c r="D27" s="95">
        <v>132</v>
      </c>
      <c r="E27" s="101">
        <v>127</v>
      </c>
      <c r="F27" s="95">
        <v>146</v>
      </c>
    </row>
    <row r="28" spans="1:7" x14ac:dyDescent="0.35">
      <c r="A28" s="92" t="s">
        <v>367</v>
      </c>
      <c r="B28" s="95">
        <v>2404</v>
      </c>
      <c r="C28" s="95">
        <v>4520</v>
      </c>
      <c r="D28" s="95">
        <v>3116</v>
      </c>
      <c r="E28" s="101">
        <v>2680</v>
      </c>
      <c r="F28" s="95">
        <v>3186</v>
      </c>
    </row>
    <row r="29" spans="1:7" x14ac:dyDescent="0.35">
      <c r="A29" s="92" t="s">
        <v>383</v>
      </c>
      <c r="B29" s="95">
        <v>1214</v>
      </c>
      <c r="C29" s="95">
        <v>2765</v>
      </c>
      <c r="D29" s="95">
        <v>1927</v>
      </c>
      <c r="E29" s="101">
        <v>1555</v>
      </c>
      <c r="F29" s="95">
        <v>2353</v>
      </c>
    </row>
    <row r="30" spans="1:7" hidden="1" x14ac:dyDescent="0.35">
      <c r="A30" s="92" t="s">
        <v>368</v>
      </c>
      <c r="E30" s="98">
        <v>0.71</v>
      </c>
    </row>
    <row r="31" spans="1:7" hidden="1" x14ac:dyDescent="0.35">
      <c r="A31" s="92" t="s">
        <v>369</v>
      </c>
      <c r="E31" s="101">
        <v>1916</v>
      </c>
    </row>
    <row r="32" spans="1:7" x14ac:dyDescent="0.35">
      <c r="A32" s="92" t="s">
        <v>370</v>
      </c>
      <c r="C32" s="95">
        <v>6118</v>
      </c>
      <c r="D32" s="95">
        <v>6186</v>
      </c>
      <c r="E32" s="101">
        <v>5802</v>
      </c>
      <c r="F32" s="95">
        <v>7388</v>
      </c>
    </row>
    <row r="33" spans="1:6" hidden="1" x14ac:dyDescent="0.35">
      <c r="A33" s="92" t="s">
        <v>371</v>
      </c>
      <c r="E33" s="98">
        <v>0.14000000000000001</v>
      </c>
    </row>
    <row r="34" spans="1:6" hidden="1" x14ac:dyDescent="0.35">
      <c r="A34" s="92" t="s">
        <v>372</v>
      </c>
      <c r="E34" s="98">
        <v>0.84</v>
      </c>
    </row>
    <row r="35" spans="1:6" hidden="1" x14ac:dyDescent="0.35">
      <c r="A35" s="92" t="s">
        <v>373</v>
      </c>
      <c r="E35" s="101">
        <v>38</v>
      </c>
    </row>
    <row r="36" spans="1:6" hidden="1" x14ac:dyDescent="0.35">
      <c r="A36" s="92" t="s">
        <v>374</v>
      </c>
      <c r="E36" s="98">
        <v>0.79</v>
      </c>
    </row>
    <row r="37" spans="1:6" x14ac:dyDescent="0.35">
      <c r="A37" s="92"/>
      <c r="E37" s="100"/>
    </row>
    <row r="38" spans="1:6" x14ac:dyDescent="0.35">
      <c r="A38" s="92" t="s">
        <v>258</v>
      </c>
      <c r="D38" s="95">
        <v>4396</v>
      </c>
      <c r="E38" s="101">
        <v>4983</v>
      </c>
      <c r="F38" s="95">
        <v>4630</v>
      </c>
    </row>
    <row r="39" spans="1:6" x14ac:dyDescent="0.35">
      <c r="A39" s="92" t="s">
        <v>260</v>
      </c>
      <c r="D39" s="95">
        <v>2217</v>
      </c>
      <c r="E39" s="101">
        <v>2973</v>
      </c>
      <c r="F39" s="95">
        <v>3986</v>
      </c>
    </row>
    <row r="40" spans="1:6" x14ac:dyDescent="0.35">
      <c r="A40" s="92" t="s">
        <v>433</v>
      </c>
      <c r="B40" s="95">
        <v>5708</v>
      </c>
      <c r="C40" s="95">
        <v>7504</v>
      </c>
      <c r="D40" s="95">
        <v>10390</v>
      </c>
      <c r="E40" s="101">
        <v>13158</v>
      </c>
      <c r="F40" s="95">
        <v>17096</v>
      </c>
    </row>
    <row r="41" spans="1:6" x14ac:dyDescent="0.35">
      <c r="A41" s="92" t="s">
        <v>376</v>
      </c>
      <c r="E41" s="98">
        <v>0.57999999999999996</v>
      </c>
      <c r="F41" s="98">
        <v>0.65</v>
      </c>
    </row>
    <row r="42" spans="1:6" x14ac:dyDescent="0.35">
      <c r="A42" s="92" t="s">
        <v>375</v>
      </c>
      <c r="B42" s="95">
        <v>6344</v>
      </c>
      <c r="C42" s="95">
        <v>9090</v>
      </c>
      <c r="D42" s="95">
        <v>9154</v>
      </c>
      <c r="E42" s="101">
        <v>8112</v>
      </c>
      <c r="F42" s="95">
        <v>7747</v>
      </c>
    </row>
    <row r="43" spans="1:6" hidden="1" x14ac:dyDescent="0.35">
      <c r="A43" s="92"/>
      <c r="E43" s="98"/>
    </row>
    <row r="44" spans="1:6" hidden="1" x14ac:dyDescent="0.35">
      <c r="A44" s="92" t="s">
        <v>381</v>
      </c>
      <c r="C44" s="95">
        <v>81</v>
      </c>
      <c r="D44" s="95">
        <v>75</v>
      </c>
      <c r="E44" s="98"/>
    </row>
    <row r="45" spans="1:6" hidden="1" x14ac:dyDescent="0.35">
      <c r="A45" s="92" t="s">
        <v>382</v>
      </c>
      <c r="C45" s="95">
        <v>2190</v>
      </c>
      <c r="D45" s="95">
        <f>D28*0.58</f>
        <v>1807.28</v>
      </c>
      <c r="E45" s="98"/>
    </row>
    <row r="46" spans="1:6" x14ac:dyDescent="0.35">
      <c r="A46" s="92"/>
      <c r="E46" s="100"/>
    </row>
    <row r="47" spans="1:6" x14ac:dyDescent="0.35">
      <c r="A47" s="92" t="s">
        <v>5</v>
      </c>
      <c r="B47" s="96">
        <v>0.2802</v>
      </c>
      <c r="C47" s="96">
        <v>0.30499999999999999</v>
      </c>
      <c r="D47" s="96">
        <v>0.32679999999999998</v>
      </c>
      <c r="E47" s="96">
        <v>0.3538</v>
      </c>
      <c r="F47" s="96">
        <v>0.33479999999999999</v>
      </c>
    </row>
    <row r="48" spans="1:6" x14ac:dyDescent="0.35">
      <c r="A48" s="92" t="s">
        <v>377</v>
      </c>
      <c r="C48" s="96">
        <v>0.13450000000000001</v>
      </c>
      <c r="D48" s="96">
        <v>0.13439999999999999</v>
      </c>
      <c r="E48" s="96">
        <v>0.15909999999999999</v>
      </c>
      <c r="F48" s="96">
        <v>0.16470000000000001</v>
      </c>
    </row>
    <row r="49" spans="1:5" x14ac:dyDescent="0.35">
      <c r="A49" s="92"/>
      <c r="E49" s="100"/>
    </row>
    <row r="50" spans="1:5" x14ac:dyDescent="0.35">
      <c r="A50" s="92" t="s">
        <v>359</v>
      </c>
    </row>
    <row r="51" spans="1:5" x14ac:dyDescent="0.35">
      <c r="A51" s="92" t="s">
        <v>360</v>
      </c>
      <c r="E51" s="95" t="s">
        <v>361</v>
      </c>
    </row>
    <row r="52" spans="1:5" x14ac:dyDescent="0.35">
      <c r="A52" s="92" t="s">
        <v>178</v>
      </c>
      <c r="E52" s="95" t="s">
        <v>362</v>
      </c>
    </row>
    <row r="53" spans="1:5" x14ac:dyDescent="0.35">
      <c r="A53" s="92" t="s">
        <v>176</v>
      </c>
      <c r="E53" s="95" t="s">
        <v>177</v>
      </c>
    </row>
  </sheetData>
  <phoneticPr fontId="1" type="noConversion"/>
  <conditionalFormatting sqref="A28:XFD28">
    <cfRule type="colorScale" priority="5">
      <colorScale>
        <cfvo type="min"/>
        <cfvo type="max"/>
        <color rgb="FFFFEF9C"/>
        <color rgb="FF63BE7B"/>
      </colorScale>
    </cfRule>
  </conditionalFormatting>
  <conditionalFormatting sqref="A19:XFD19">
    <cfRule type="colorScale" priority="4">
      <colorScale>
        <cfvo type="min"/>
        <cfvo type="max"/>
        <color rgb="FFFFEF9C"/>
        <color rgb="FF63BE7B"/>
      </colorScale>
    </cfRule>
  </conditionalFormatting>
  <conditionalFormatting sqref="A32:XFD32">
    <cfRule type="colorScale" priority="2">
      <colorScale>
        <cfvo type="min"/>
        <cfvo type="max"/>
        <color rgb="FF63BE7B"/>
        <color rgb="FFFFEF9C"/>
      </colorScale>
    </cfRule>
  </conditionalFormatting>
  <conditionalFormatting sqref="A20:XFD20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298ED-4BF0-4C5B-B5BA-7C61A9F6766E}">
  <dimension ref="A1:J26"/>
  <sheetViews>
    <sheetView workbookViewId="0">
      <pane ySplit="1" topLeftCell="A2" activePane="bottomLeft" state="frozen"/>
      <selection pane="bottomLeft" activeCell="D14" sqref="D14"/>
    </sheetView>
  </sheetViews>
  <sheetFormatPr defaultRowHeight="16.5" x14ac:dyDescent="0.35"/>
  <cols>
    <col min="1" max="1" width="22.5" style="68" customWidth="1"/>
    <col min="2" max="4" width="9" style="43" customWidth="1"/>
    <col min="5" max="16384" width="9" style="43"/>
  </cols>
  <sheetData>
    <row r="1" spans="1:10" s="54" customFormat="1" ht="24" customHeight="1" x14ac:dyDescent="0.2">
      <c r="A1" s="62" t="s">
        <v>70</v>
      </c>
      <c r="B1" s="54" t="s">
        <v>71</v>
      </c>
      <c r="C1" s="54" t="s">
        <v>72</v>
      </c>
      <c r="D1" s="54" t="s">
        <v>73</v>
      </c>
      <c r="E1" s="54" t="s">
        <v>74</v>
      </c>
      <c r="F1" s="54" t="s">
        <v>75</v>
      </c>
      <c r="G1" s="54" t="s">
        <v>76</v>
      </c>
      <c r="H1" s="54" t="s">
        <v>77</v>
      </c>
      <c r="I1" s="54" t="s">
        <v>78</v>
      </c>
      <c r="J1" s="54" t="s">
        <v>79</v>
      </c>
    </row>
    <row r="2" spans="1:10" s="50" customFormat="1" ht="18" customHeight="1" x14ac:dyDescent="0.2">
      <c r="A2" s="63" t="s">
        <v>80</v>
      </c>
      <c r="B2" s="50">
        <v>401.3</v>
      </c>
      <c r="C2" s="50">
        <v>481.2</v>
      </c>
      <c r="D2" s="50">
        <v>490.5</v>
      </c>
      <c r="E2" s="58">
        <v>545.4</v>
      </c>
      <c r="F2" s="58">
        <v>881.4</v>
      </c>
      <c r="G2" s="58">
        <v>1560.8</v>
      </c>
      <c r="H2" s="58">
        <v>2006.4</v>
      </c>
      <c r="I2" s="58">
        <v>2425</v>
      </c>
      <c r="J2" s="58">
        <v>2706.1</v>
      </c>
    </row>
    <row r="3" spans="1:10" s="50" customFormat="1" ht="18" customHeight="1" x14ac:dyDescent="0.2">
      <c r="A3" s="63" t="s">
        <v>428</v>
      </c>
      <c r="B3" s="50">
        <v>299.08999999999997</v>
      </c>
      <c r="C3" s="50">
        <v>369.84</v>
      </c>
      <c r="D3" s="50">
        <v>477.64</v>
      </c>
      <c r="E3" s="58">
        <v>551.24</v>
      </c>
      <c r="F3" s="58">
        <v>617.65</v>
      </c>
      <c r="G3" s="58">
        <v>705.66</v>
      </c>
      <c r="H3" s="58">
        <v>816.61</v>
      </c>
      <c r="I3" s="58">
        <v>939.56</v>
      </c>
      <c r="J3" s="58">
        <v>1083.44</v>
      </c>
    </row>
    <row r="4" spans="1:10" s="50" customFormat="1" ht="18" customHeight="1" x14ac:dyDescent="0.2">
      <c r="A4" s="63" t="s">
        <v>427</v>
      </c>
      <c r="B4" s="50">
        <v>26.68</v>
      </c>
      <c r="C4" s="50">
        <v>27.92</v>
      </c>
      <c r="D4" s="50">
        <v>25.08</v>
      </c>
      <c r="E4" s="58">
        <v>73.430000000000007</v>
      </c>
      <c r="F4" s="58">
        <v>133.5</v>
      </c>
      <c r="G4" s="58">
        <v>356.12</v>
      </c>
      <c r="H4" s="58">
        <v>591.55999999999995</v>
      </c>
      <c r="I4" s="58">
        <v>727.21</v>
      </c>
      <c r="J4" s="58">
        <v>843.8</v>
      </c>
    </row>
    <row r="5" spans="1:10" s="50" customFormat="1" ht="18" customHeight="1" x14ac:dyDescent="0.2">
      <c r="A5" s="64" t="s">
        <v>95</v>
      </c>
      <c r="E5" s="58">
        <v>93.64</v>
      </c>
      <c r="F5" s="58">
        <v>91.35</v>
      </c>
      <c r="G5" s="58">
        <v>125.99</v>
      </c>
      <c r="H5" s="58">
        <v>162.37</v>
      </c>
      <c r="I5" s="58">
        <v>183.37</v>
      </c>
      <c r="J5" s="58">
        <v>200</v>
      </c>
    </row>
    <row r="6" spans="1:10" s="55" customFormat="1" ht="18" customHeight="1" x14ac:dyDescent="0.2">
      <c r="A6" s="65" t="s">
        <v>81</v>
      </c>
      <c r="B6" s="55">
        <v>0.19400000000000001</v>
      </c>
      <c r="C6" s="55">
        <v>0.15</v>
      </c>
      <c r="D6" s="55">
        <v>0.13</v>
      </c>
      <c r="E6" s="59">
        <v>0.14599999999999999</v>
      </c>
      <c r="F6" s="59">
        <v>0.14199999999999999</v>
      </c>
      <c r="G6" s="59">
        <v>0.13600000000000001</v>
      </c>
      <c r="H6" s="59">
        <v>0.111</v>
      </c>
      <c r="I6" s="59">
        <v>0.10299999999999999</v>
      </c>
      <c r="J6" s="59">
        <v>0.10100000000000001</v>
      </c>
    </row>
    <row r="7" spans="1:10" s="56" customFormat="1" ht="18" customHeight="1" x14ac:dyDescent="0.2">
      <c r="A7" s="66" t="s">
        <v>98</v>
      </c>
      <c r="D7" s="56">
        <v>0.25</v>
      </c>
      <c r="E7" s="60">
        <v>0.3</v>
      </c>
      <c r="F7" s="60">
        <v>0.35</v>
      </c>
      <c r="G7" s="60">
        <v>0.4</v>
      </c>
      <c r="H7" s="60">
        <v>0.45</v>
      </c>
      <c r="I7" s="60"/>
      <c r="J7" s="60">
        <v>0.46500000000000002</v>
      </c>
    </row>
    <row r="8" spans="1:10" s="57" customFormat="1" ht="18" customHeight="1" x14ac:dyDescent="0.2">
      <c r="A8" s="67" t="s">
        <v>99</v>
      </c>
      <c r="B8" s="57">
        <v>0.39700000000000002</v>
      </c>
      <c r="C8" s="57">
        <v>0.27</v>
      </c>
      <c r="D8" s="57">
        <v>0.25700000000000001</v>
      </c>
      <c r="E8" s="61">
        <v>0.26200000000000001</v>
      </c>
      <c r="F8" s="61">
        <v>0.27600000000000002</v>
      </c>
      <c r="G8" s="61">
        <v>0.33800000000000002</v>
      </c>
      <c r="H8" s="61">
        <v>0.33200000000000002</v>
      </c>
      <c r="I8" s="61">
        <v>0.32100000000000001</v>
      </c>
      <c r="J8" s="61">
        <v>0.27300000000000002</v>
      </c>
    </row>
    <row r="9" spans="1:10" s="50" customFormat="1" ht="18" customHeight="1" x14ac:dyDescent="0.2">
      <c r="A9" s="63" t="s">
        <v>94</v>
      </c>
      <c r="B9" s="50">
        <v>9603</v>
      </c>
      <c r="C9" s="50">
        <v>11293</v>
      </c>
      <c r="D9" s="50">
        <v>10803</v>
      </c>
      <c r="E9" s="58">
        <v>12825</v>
      </c>
      <c r="F9" s="58">
        <v>14642</v>
      </c>
      <c r="G9" s="58">
        <v>15352</v>
      </c>
      <c r="H9" s="58">
        <v>16229</v>
      </c>
      <c r="I9" s="58">
        <v>17032</v>
      </c>
      <c r="J9" s="58">
        <v>16744</v>
      </c>
    </row>
    <row r="10" spans="1:10" s="50" customFormat="1" ht="18" customHeight="1" x14ac:dyDescent="0.2">
      <c r="A10" s="63" t="s">
        <v>82</v>
      </c>
      <c r="B10" s="50">
        <v>417.96</v>
      </c>
      <c r="C10" s="50">
        <v>426.12</v>
      </c>
      <c r="D10" s="50">
        <v>454.02</v>
      </c>
      <c r="E10" s="58">
        <v>425.29</v>
      </c>
      <c r="F10" s="58">
        <v>602.01</v>
      </c>
      <c r="G10" s="58">
        <v>1016.7</v>
      </c>
      <c r="H10" s="58">
        <v>1236.3</v>
      </c>
      <c r="I10" s="58">
        <v>1424</v>
      </c>
      <c r="J10" s="58">
        <v>1616.2</v>
      </c>
    </row>
    <row r="11" spans="1:10" s="50" customFormat="1" ht="18" customHeight="1" x14ac:dyDescent="0.2">
      <c r="A11" s="63" t="s">
        <v>83</v>
      </c>
      <c r="B11" s="50">
        <v>545</v>
      </c>
      <c r="C11" s="50">
        <v>575</v>
      </c>
      <c r="D11" s="50">
        <v>520</v>
      </c>
      <c r="E11" s="58">
        <v>553</v>
      </c>
      <c r="F11" s="58">
        <v>737</v>
      </c>
      <c r="G11" s="58">
        <v>852</v>
      </c>
      <c r="H11" s="58">
        <v>1951</v>
      </c>
      <c r="I11" s="58">
        <v>2535</v>
      </c>
      <c r="J11" s="58">
        <v>3107</v>
      </c>
    </row>
    <row r="12" spans="1:10" s="50" customFormat="1" ht="18" customHeight="1" x14ac:dyDescent="0.2">
      <c r="A12" s="63" t="s">
        <v>84</v>
      </c>
      <c r="B12" s="50">
        <v>518</v>
      </c>
      <c r="C12" s="50">
        <v>504</v>
      </c>
      <c r="D12" s="50">
        <v>482</v>
      </c>
      <c r="E12" s="58">
        <v>400</v>
      </c>
      <c r="F12" s="58">
        <v>476</v>
      </c>
      <c r="G12" s="58">
        <v>1342</v>
      </c>
      <c r="H12" s="58">
        <v>1174</v>
      </c>
      <c r="I12" s="58">
        <v>1500</v>
      </c>
      <c r="J12" s="58">
        <v>1800</v>
      </c>
    </row>
    <row r="13" spans="1:10" s="50" customFormat="1" ht="18" customHeight="1" x14ac:dyDescent="0.2">
      <c r="A13" s="63" t="s">
        <v>85</v>
      </c>
      <c r="B13" s="50">
        <v>3952</v>
      </c>
      <c r="C13" s="50">
        <v>3949</v>
      </c>
      <c r="D13" s="50">
        <v>3492</v>
      </c>
      <c r="E13" s="58">
        <v>3486</v>
      </c>
      <c r="F13" s="58">
        <v>4147</v>
      </c>
      <c r="G13" s="58">
        <v>5458</v>
      </c>
      <c r="H13" s="58">
        <v>6636</v>
      </c>
      <c r="I13" s="58">
        <v>6814</v>
      </c>
      <c r="J13" s="58">
        <v>7400</v>
      </c>
    </row>
    <row r="14" spans="1:10" s="50" customFormat="1" ht="18" customHeight="1" x14ac:dyDescent="0.2">
      <c r="A14" s="63" t="s">
        <v>86</v>
      </c>
      <c r="B14" s="50">
        <v>3582</v>
      </c>
      <c r="C14" s="50">
        <v>3576</v>
      </c>
      <c r="D14" s="50">
        <v>3284</v>
      </c>
      <c r="E14" s="58">
        <v>3054</v>
      </c>
      <c r="F14" s="58">
        <v>3294</v>
      </c>
      <c r="G14" s="58">
        <v>3900</v>
      </c>
      <c r="H14" s="58">
        <v>4559</v>
      </c>
      <c r="I14" s="58">
        <v>4742</v>
      </c>
      <c r="J14" s="58">
        <v>5279</v>
      </c>
    </row>
    <row r="15" spans="1:10" s="50" customFormat="1" ht="18" customHeight="1" x14ac:dyDescent="0.2">
      <c r="A15" s="63" t="s">
        <v>87</v>
      </c>
      <c r="B15" s="50">
        <v>1964</v>
      </c>
      <c r="C15" s="50">
        <v>2050</v>
      </c>
      <c r="D15" s="50">
        <v>2363</v>
      </c>
      <c r="E15" s="58">
        <v>3165</v>
      </c>
      <c r="F15" s="58">
        <v>4039</v>
      </c>
      <c r="G15" s="58">
        <v>5032</v>
      </c>
      <c r="H15" s="58">
        <v>5218</v>
      </c>
      <c r="I15" s="58">
        <v>5737</v>
      </c>
      <c r="J15" s="58">
        <v>5569</v>
      </c>
    </row>
    <row r="16" spans="1:10" s="50" customFormat="1" ht="18" customHeight="1" x14ac:dyDescent="0.2">
      <c r="A16" s="63" t="s">
        <v>88</v>
      </c>
      <c r="B16" s="50">
        <v>891</v>
      </c>
      <c r="C16" s="50">
        <v>559</v>
      </c>
      <c r="D16" s="50">
        <v>311</v>
      </c>
      <c r="E16" s="58">
        <v>583</v>
      </c>
      <c r="F16" s="58">
        <v>1255</v>
      </c>
      <c r="G16" s="58">
        <v>2023</v>
      </c>
      <c r="H16" s="58">
        <v>2189</v>
      </c>
      <c r="I16" s="58">
        <v>1731</v>
      </c>
      <c r="J16" s="58">
        <v>2567</v>
      </c>
    </row>
    <row r="17" spans="1:10" s="50" customFormat="1" ht="18" customHeight="1" x14ac:dyDescent="0.2">
      <c r="A17" s="63" t="s">
        <v>89</v>
      </c>
      <c r="E17" s="58"/>
      <c r="F17" s="58"/>
      <c r="G17" s="58">
        <v>1149</v>
      </c>
      <c r="H17" s="58">
        <v>1372</v>
      </c>
      <c r="I17" s="58">
        <v>1273</v>
      </c>
      <c r="J17" s="58">
        <v>1847</v>
      </c>
    </row>
    <row r="18" spans="1:10" s="50" customFormat="1" ht="18" customHeight="1" x14ac:dyDescent="0.2">
      <c r="A18" s="63" t="s">
        <v>90</v>
      </c>
      <c r="B18" s="50">
        <v>8.72E-2</v>
      </c>
      <c r="C18" s="50">
        <v>0.13</v>
      </c>
      <c r="E18" s="58"/>
      <c r="F18" s="58"/>
      <c r="G18" s="58"/>
      <c r="H18" s="58"/>
      <c r="I18" s="58"/>
      <c r="J18" s="58"/>
    </row>
    <row r="19" spans="1:10" s="50" customFormat="1" ht="18" customHeight="1" x14ac:dyDescent="0.2">
      <c r="A19" s="63" t="s">
        <v>91</v>
      </c>
      <c r="B19" s="50">
        <v>2479</v>
      </c>
      <c r="C19" s="50">
        <v>3120</v>
      </c>
      <c r="D19" s="50">
        <v>6785</v>
      </c>
      <c r="E19" s="58">
        <v>7469</v>
      </c>
      <c r="F19" s="58">
        <v>6329</v>
      </c>
      <c r="G19" s="58">
        <v>6445</v>
      </c>
      <c r="H19" s="58">
        <v>5297</v>
      </c>
      <c r="I19" s="58">
        <v>6186</v>
      </c>
      <c r="J19" s="58">
        <v>5687</v>
      </c>
    </row>
    <row r="20" spans="1:10" s="50" customFormat="1" ht="18" customHeight="1" x14ac:dyDescent="0.2">
      <c r="A20" s="63" t="s">
        <v>92</v>
      </c>
      <c r="B20" s="50">
        <v>328.4</v>
      </c>
      <c r="C20" s="50">
        <v>377</v>
      </c>
      <c r="D20" s="50">
        <v>477.4</v>
      </c>
      <c r="E20" s="58">
        <v>522.70000000000005</v>
      </c>
      <c r="F20" s="58">
        <v>578.70000000000005</v>
      </c>
      <c r="G20" s="58">
        <v>774</v>
      </c>
      <c r="H20" s="58">
        <v>1198.2</v>
      </c>
      <c r="I20" s="58">
        <v>1460</v>
      </c>
      <c r="J20" s="58">
        <v>1673.7</v>
      </c>
    </row>
    <row r="21" spans="1:10" s="50" customFormat="1" ht="18" customHeight="1" x14ac:dyDescent="0.2">
      <c r="A21" s="63" t="s">
        <v>96</v>
      </c>
      <c r="E21" s="58"/>
      <c r="F21" s="58"/>
      <c r="G21" s="58">
        <v>34.06</v>
      </c>
      <c r="H21" s="58">
        <v>48.97</v>
      </c>
      <c r="I21" s="58">
        <v>65.87</v>
      </c>
      <c r="J21" s="58">
        <v>79.78</v>
      </c>
    </row>
    <row r="22" spans="1:10" s="50" customFormat="1" ht="18" customHeight="1" x14ac:dyDescent="0.2">
      <c r="A22" s="63" t="s">
        <v>97</v>
      </c>
      <c r="E22" s="58"/>
      <c r="F22" s="58"/>
      <c r="G22" s="58">
        <v>33.6</v>
      </c>
      <c r="H22" s="58">
        <v>48.23</v>
      </c>
      <c r="I22" s="58">
        <v>65.11</v>
      </c>
      <c r="J22" s="58">
        <v>78.72</v>
      </c>
    </row>
    <row r="23" spans="1:10" s="50" customFormat="1" ht="18" customHeight="1" x14ac:dyDescent="0.2">
      <c r="A23" s="63" t="s">
        <v>93</v>
      </c>
      <c r="B23" s="57">
        <v>6.7199999999999996E-2</v>
      </c>
      <c r="C23" s="57">
        <v>6.5799999999999997E-2</v>
      </c>
      <c r="D23" s="57">
        <v>6.4000000000000001E-2</v>
      </c>
      <c r="E23" s="61">
        <v>5.74E-2</v>
      </c>
      <c r="F23" s="61">
        <v>4.9200000000000001E-2</v>
      </c>
      <c r="G23" s="61">
        <v>4.4999999999999998E-2</v>
      </c>
      <c r="H23" s="61">
        <v>4.5499999999999999E-2</v>
      </c>
      <c r="I23" s="61">
        <v>4.5400000000000003E-2</v>
      </c>
      <c r="J23" s="61">
        <v>4.3900000000000002E-2</v>
      </c>
    </row>
    <row r="24" spans="1:10" s="50" customFormat="1" ht="18" customHeight="1" x14ac:dyDescent="0.2">
      <c r="A24" s="63" t="s">
        <v>100</v>
      </c>
      <c r="E24" s="58">
        <v>10.17</v>
      </c>
      <c r="F24" s="58">
        <v>14.27</v>
      </c>
      <c r="G24" s="58">
        <v>17.96</v>
      </c>
      <c r="H24" s="58">
        <v>31.93</v>
      </c>
      <c r="I24" s="58">
        <v>40.340000000000003</v>
      </c>
      <c r="J24" s="58">
        <v>50.33</v>
      </c>
    </row>
    <row r="25" spans="1:10" s="50" customFormat="1" ht="18" customHeight="1" x14ac:dyDescent="0.2">
      <c r="A25" s="63" t="s">
        <v>101</v>
      </c>
      <c r="E25" s="58">
        <v>14.35</v>
      </c>
      <c r="F25" s="58">
        <v>20.22</v>
      </c>
      <c r="G25" s="58">
        <v>32.67</v>
      </c>
      <c r="H25" s="58">
        <v>53.96</v>
      </c>
      <c r="I25" s="58">
        <v>65.2</v>
      </c>
      <c r="J25" s="58">
        <v>72.94</v>
      </c>
    </row>
    <row r="26" spans="1:10" x14ac:dyDescent="0.35">
      <c r="A26" s="68" t="s">
        <v>426</v>
      </c>
      <c r="B26" s="44"/>
      <c r="C26" s="44">
        <v>0.57899999999999996</v>
      </c>
      <c r="D26" s="44">
        <v>0.57099999999999995</v>
      </c>
      <c r="E26" s="44">
        <v>0.54600000000000004</v>
      </c>
      <c r="F26" s="44">
        <v>0.53900000000000003</v>
      </c>
      <c r="G26" s="44">
        <v>0.47699999999999998</v>
      </c>
      <c r="H26" s="44">
        <v>0.52900000000000003</v>
      </c>
      <c r="I26" s="53">
        <v>0.51</v>
      </c>
      <c r="J26" s="44">
        <v>0.46500000000000002</v>
      </c>
    </row>
  </sheetData>
  <phoneticPr fontId="1" type="noConversion"/>
  <pageMargins left="0.7" right="0.7" top="0.75" bottom="0.75" header="0.3" footer="0.3"/>
  <pageSetup paperSize="0" orientation="portrait" horizontalDpi="0" verticalDpi="0" copie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DC985C-FF2A-4422-8690-469E781280D9}">
  <dimension ref="A1:S46"/>
  <sheetViews>
    <sheetView workbookViewId="0">
      <pane ySplit="1" topLeftCell="A9" activePane="bottomLeft" state="frozen"/>
      <selection pane="bottomLeft" activeCell="T18" sqref="T18"/>
    </sheetView>
  </sheetViews>
  <sheetFormatPr defaultRowHeight="17.100000000000001" customHeight="1" x14ac:dyDescent="0.35"/>
  <cols>
    <col min="1" max="1" width="23.625" style="75" customWidth="1"/>
    <col min="2" max="2" width="10" style="75" customWidth="1"/>
    <col min="3" max="3" width="9.75" style="75" customWidth="1"/>
    <col min="4" max="4" width="9.5" style="45" customWidth="1"/>
    <col min="5" max="5" width="9.75" style="45" customWidth="1"/>
    <col min="6" max="6" width="9.375" style="43" customWidth="1"/>
    <col min="7" max="7" width="8.375" style="43" customWidth="1"/>
    <col min="8" max="8" width="6.875" style="44" customWidth="1"/>
    <col min="9" max="9" width="6.875" style="45" customWidth="1"/>
    <col min="10" max="10" width="9.5" style="45" customWidth="1"/>
    <col min="11" max="11" width="6.875" style="45" customWidth="1"/>
    <col min="12" max="12" width="8.25" style="46" customWidth="1"/>
    <col min="13" max="13" width="8.75" style="43" customWidth="1"/>
    <col min="14" max="14" width="7.125" style="43" customWidth="1"/>
    <col min="15" max="15" width="6.625" style="43" customWidth="1"/>
    <col min="16" max="16" width="6.375" style="43" customWidth="1"/>
    <col min="17" max="17" width="8.25" style="43" customWidth="1"/>
    <col min="18" max="18" width="6.75" style="46" customWidth="1"/>
    <col min="19" max="19" width="7.125" style="43" customWidth="1"/>
    <col min="20" max="20" width="8.5" style="43" customWidth="1"/>
    <col min="21" max="22" width="9" style="43" customWidth="1"/>
    <col min="23" max="23" width="7" style="43" customWidth="1"/>
    <col min="24" max="24" width="9" style="43" customWidth="1"/>
    <col min="25" max="25" width="9.875" style="43" customWidth="1"/>
    <col min="26" max="26" width="9.375" style="43" customWidth="1"/>
    <col min="27" max="27" width="8.25" style="43" customWidth="1"/>
    <col min="28" max="28" width="8.125" style="43" customWidth="1"/>
    <col min="29" max="29" width="8.875" style="43" customWidth="1"/>
    <col min="30" max="16384" width="9" style="43"/>
  </cols>
  <sheetData>
    <row r="1" spans="1:19" s="51" customFormat="1" ht="30" customHeight="1" x14ac:dyDescent="0.2">
      <c r="A1" s="72" t="s">
        <v>52</v>
      </c>
      <c r="B1" s="72" t="s">
        <v>431</v>
      </c>
      <c r="C1" s="72" t="s">
        <v>430</v>
      </c>
      <c r="D1" s="51" t="s">
        <v>4</v>
      </c>
      <c r="E1" s="51" t="s">
        <v>3</v>
      </c>
      <c r="F1" s="51" t="s">
        <v>2</v>
      </c>
      <c r="G1" s="51" t="s">
        <v>1</v>
      </c>
      <c r="H1" s="69"/>
      <c r="I1" s="70"/>
      <c r="J1" s="70"/>
      <c r="K1" s="70"/>
      <c r="L1" s="71"/>
      <c r="R1" s="71"/>
    </row>
    <row r="2" spans="1:19" ht="17.100000000000001" customHeight="1" x14ac:dyDescent="0.25">
      <c r="A2" s="64" t="s">
        <v>5</v>
      </c>
      <c r="B2" s="76">
        <v>0.22700000000000001</v>
      </c>
      <c r="C2" s="76">
        <v>0.254</v>
      </c>
      <c r="D2" s="76">
        <v>0.29699999999999999</v>
      </c>
      <c r="E2" s="76">
        <v>0.34699999999999998</v>
      </c>
      <c r="F2" s="76">
        <v>0.29699999999999999</v>
      </c>
      <c r="G2" s="76">
        <v>0.251</v>
      </c>
      <c r="H2" s="77"/>
      <c r="I2" s="78"/>
      <c r="J2" s="78"/>
      <c r="K2" s="78"/>
      <c r="L2" s="79"/>
      <c r="M2" s="80"/>
      <c r="N2" s="80"/>
      <c r="O2" s="80"/>
      <c r="P2" s="80"/>
      <c r="Q2" s="80"/>
      <c r="R2" s="79"/>
      <c r="S2" s="80"/>
    </row>
    <row r="3" spans="1:19" ht="17.100000000000001" customHeight="1" x14ac:dyDescent="0.25">
      <c r="A3" s="64" t="s">
        <v>54</v>
      </c>
      <c r="B3" s="76">
        <v>0.121</v>
      </c>
      <c r="C3" s="76">
        <v>0.127</v>
      </c>
      <c r="D3" s="76">
        <v>0.128</v>
      </c>
      <c r="E3" s="76">
        <v>0.13100000000000001</v>
      </c>
      <c r="F3" s="76">
        <v>0.122</v>
      </c>
      <c r="G3" s="76">
        <v>0.112</v>
      </c>
      <c r="H3" s="77"/>
      <c r="I3" s="78"/>
      <c r="J3" s="78"/>
      <c r="K3" s="78"/>
      <c r="L3" s="79"/>
      <c r="M3" s="80"/>
      <c r="N3" s="80"/>
      <c r="O3" s="80"/>
      <c r="P3" s="80"/>
      <c r="Q3" s="80"/>
      <c r="R3" s="79"/>
      <c r="S3" s="80"/>
    </row>
    <row r="4" spans="1:19" ht="17.100000000000001" customHeight="1" x14ac:dyDescent="0.25">
      <c r="A4" s="73" t="s">
        <v>36</v>
      </c>
      <c r="B4" s="81"/>
      <c r="C4" s="81"/>
      <c r="D4" s="81">
        <v>209.03</v>
      </c>
      <c r="E4" s="81">
        <v>256.3</v>
      </c>
      <c r="F4" s="81">
        <v>301.99</v>
      </c>
      <c r="G4" s="81">
        <v>360.52</v>
      </c>
      <c r="H4" s="77"/>
      <c r="I4" s="78"/>
      <c r="J4" s="78"/>
      <c r="K4" s="78"/>
      <c r="L4" s="79"/>
      <c r="M4" s="80"/>
      <c r="N4" s="80"/>
      <c r="O4" s="80"/>
      <c r="P4" s="80"/>
      <c r="Q4" s="80"/>
      <c r="R4" s="79"/>
      <c r="S4" s="80"/>
    </row>
    <row r="5" spans="1:19" ht="17.100000000000001" customHeight="1" x14ac:dyDescent="0.25">
      <c r="A5" s="73" t="s">
        <v>60</v>
      </c>
      <c r="B5" s="81"/>
      <c r="C5" s="81"/>
      <c r="D5" s="81">
        <v>48.28</v>
      </c>
      <c r="E5" s="81">
        <v>54.09</v>
      </c>
      <c r="F5" s="81">
        <v>64.430000000000007</v>
      </c>
      <c r="G5" s="81">
        <v>80.319999999999993</v>
      </c>
      <c r="H5" s="77"/>
      <c r="I5" s="78"/>
      <c r="J5" s="78"/>
      <c r="K5" s="78"/>
      <c r="L5" s="79"/>
      <c r="M5" s="80"/>
      <c r="N5" s="80"/>
      <c r="O5" s="80"/>
      <c r="P5" s="80"/>
      <c r="Q5" s="80"/>
      <c r="R5" s="79"/>
      <c r="S5" s="80"/>
    </row>
    <row r="6" spans="1:19" ht="17.100000000000001" customHeight="1" x14ac:dyDescent="0.25">
      <c r="A6" s="73" t="s">
        <v>67</v>
      </c>
      <c r="B6" s="81"/>
      <c r="C6" s="81"/>
      <c r="D6" s="81">
        <v>21.05</v>
      </c>
      <c r="E6" s="81">
        <v>21.75</v>
      </c>
      <c r="F6" s="81">
        <v>35.07</v>
      </c>
      <c r="G6" s="81">
        <v>21.28</v>
      </c>
      <c r="H6" s="77"/>
      <c r="I6" s="78"/>
      <c r="J6" s="78"/>
      <c r="K6" s="78"/>
      <c r="L6" s="79"/>
      <c r="M6" s="80"/>
      <c r="N6" s="80"/>
      <c r="O6" s="80"/>
      <c r="P6" s="80"/>
      <c r="Q6" s="80"/>
      <c r="R6" s="79"/>
      <c r="S6" s="80"/>
    </row>
    <row r="7" spans="1:19" ht="17.100000000000001" customHeight="1" x14ac:dyDescent="0.35">
      <c r="A7" s="68"/>
      <c r="B7" s="81"/>
      <c r="C7" s="81"/>
      <c r="D7" s="81"/>
      <c r="E7" s="81"/>
      <c r="F7" s="82"/>
      <c r="G7" s="82"/>
      <c r="H7" s="77"/>
      <c r="I7" s="78"/>
      <c r="J7" s="78"/>
      <c r="K7" s="78"/>
      <c r="L7" s="79"/>
      <c r="M7" s="80"/>
      <c r="N7" s="80"/>
      <c r="O7" s="80"/>
      <c r="P7" s="80"/>
      <c r="Q7" s="80"/>
      <c r="R7" s="79"/>
      <c r="S7" s="80"/>
    </row>
    <row r="8" spans="1:19" ht="17.100000000000001" customHeight="1" x14ac:dyDescent="0.25">
      <c r="A8" s="64" t="s">
        <v>53</v>
      </c>
      <c r="B8" s="76">
        <v>0.192</v>
      </c>
      <c r="C8" s="76">
        <v>0.20300000000000001</v>
      </c>
      <c r="D8" s="76">
        <v>0.22800000000000001</v>
      </c>
      <c r="E8" s="76">
        <v>0.23799999999999999</v>
      </c>
      <c r="F8" s="76">
        <v>0.247</v>
      </c>
      <c r="G8" s="76">
        <v>0.24199999999999999</v>
      </c>
      <c r="H8" s="77"/>
      <c r="I8" s="78"/>
      <c r="J8" s="78"/>
      <c r="K8" s="78"/>
      <c r="L8" s="79"/>
      <c r="M8" s="80"/>
      <c r="N8" s="80"/>
      <c r="O8" s="80"/>
      <c r="P8" s="80"/>
      <c r="Q8" s="80"/>
      <c r="R8" s="79"/>
      <c r="S8" s="80"/>
    </row>
    <row r="9" spans="1:19" ht="17.100000000000001" customHeight="1" x14ac:dyDescent="0.25">
      <c r="A9" s="74" t="s">
        <v>59</v>
      </c>
      <c r="B9" s="83"/>
      <c r="C9" s="83"/>
      <c r="D9" s="83">
        <v>1400</v>
      </c>
      <c r="E9" s="83">
        <v>1900</v>
      </c>
      <c r="F9" s="83">
        <v>2300</v>
      </c>
      <c r="G9" s="83">
        <v>2650</v>
      </c>
      <c r="H9" s="77"/>
      <c r="I9" s="78"/>
      <c r="J9" s="78"/>
      <c r="K9" s="78"/>
      <c r="L9" s="79"/>
      <c r="M9" s="80"/>
      <c r="N9" s="80"/>
      <c r="O9" s="80"/>
      <c r="P9" s="80"/>
      <c r="Q9" s="80"/>
      <c r="R9" s="79"/>
      <c r="S9" s="80"/>
    </row>
    <row r="10" spans="1:19" ht="17.100000000000001" customHeight="1" x14ac:dyDescent="0.25">
      <c r="A10" s="64" t="s">
        <v>11</v>
      </c>
      <c r="B10" s="85">
        <v>205.62</v>
      </c>
      <c r="C10" s="85">
        <v>291.63</v>
      </c>
      <c r="D10" s="85">
        <v>629.16999999999996</v>
      </c>
      <c r="E10" s="82">
        <v>956.94</v>
      </c>
      <c r="F10" s="85">
        <f>G10/1.278</f>
        <v>1203.8419405320813</v>
      </c>
      <c r="G10" s="82">
        <v>1538.51</v>
      </c>
      <c r="H10" s="77"/>
      <c r="I10" s="78"/>
      <c r="J10" s="78"/>
      <c r="K10" s="78"/>
      <c r="L10" s="79"/>
      <c r="M10" s="80"/>
      <c r="N10" s="80"/>
      <c r="O10" s="80"/>
      <c r="P10" s="80"/>
      <c r="Q10" s="80"/>
      <c r="R10" s="79"/>
      <c r="S10" s="80"/>
    </row>
    <row r="11" spans="1:19" ht="17.100000000000001" customHeight="1" x14ac:dyDescent="0.25">
      <c r="A11" s="64" t="s">
        <v>23</v>
      </c>
      <c r="B11" s="84">
        <v>14692</v>
      </c>
      <c r="C11" s="84">
        <v>18175</v>
      </c>
      <c r="D11" s="84">
        <v>16530</v>
      </c>
      <c r="E11" s="82">
        <v>15900</v>
      </c>
      <c r="F11" s="82">
        <v>16700</v>
      </c>
      <c r="G11" s="82">
        <v>15000</v>
      </c>
      <c r="H11" s="77"/>
      <c r="I11" s="78"/>
      <c r="J11" s="78"/>
      <c r="K11" s="78"/>
      <c r="L11" s="79"/>
      <c r="M11" s="80"/>
      <c r="N11" s="80"/>
      <c r="O11" s="80"/>
      <c r="P11" s="80"/>
      <c r="Q11" s="80"/>
      <c r="R11" s="79"/>
      <c r="S11" s="80"/>
    </row>
    <row r="12" spans="1:19" ht="17.100000000000001" customHeight="1" x14ac:dyDescent="0.25">
      <c r="A12" s="64" t="s">
        <v>55</v>
      </c>
      <c r="B12" s="84"/>
      <c r="C12" s="84"/>
      <c r="D12" s="84" t="s">
        <v>69</v>
      </c>
      <c r="E12" s="82" t="s">
        <v>69</v>
      </c>
      <c r="F12" s="82" t="s">
        <v>56</v>
      </c>
      <c r="G12" s="82" t="s">
        <v>56</v>
      </c>
      <c r="H12" s="77"/>
      <c r="I12" s="78"/>
      <c r="J12" s="78"/>
      <c r="K12" s="78"/>
      <c r="L12" s="79"/>
      <c r="M12" s="80"/>
      <c r="N12" s="80"/>
      <c r="O12" s="80"/>
      <c r="P12" s="80"/>
      <c r="Q12" s="80"/>
      <c r="R12" s="79"/>
      <c r="S12" s="80"/>
    </row>
    <row r="13" spans="1:19" ht="17.100000000000001" customHeight="1" x14ac:dyDescent="0.25">
      <c r="A13" s="64"/>
      <c r="B13" s="84"/>
      <c r="C13" s="84"/>
      <c r="D13" s="84"/>
      <c r="E13" s="82"/>
      <c r="F13" s="82"/>
      <c r="G13" s="82"/>
      <c r="H13" s="77"/>
      <c r="I13" s="78"/>
      <c r="J13" s="78"/>
      <c r="K13" s="78"/>
      <c r="L13" s="79"/>
      <c r="M13" s="80"/>
      <c r="N13" s="80"/>
      <c r="O13" s="80"/>
      <c r="P13" s="80"/>
      <c r="Q13" s="80"/>
      <c r="R13" s="79"/>
      <c r="S13" s="80"/>
    </row>
    <row r="14" spans="1:19" ht="17.100000000000001" customHeight="1" x14ac:dyDescent="0.25">
      <c r="A14" s="64" t="s">
        <v>57</v>
      </c>
      <c r="B14" s="84"/>
      <c r="C14" s="84"/>
      <c r="D14" s="84">
        <v>78</v>
      </c>
      <c r="E14" s="82">
        <v>93</v>
      </c>
      <c r="F14" s="82">
        <v>79</v>
      </c>
      <c r="G14" s="82">
        <v>60</v>
      </c>
      <c r="H14" s="77"/>
      <c r="I14" s="78"/>
      <c r="J14" s="78"/>
      <c r="K14" s="78"/>
      <c r="L14" s="79"/>
      <c r="M14" s="80"/>
      <c r="N14" s="80"/>
      <c r="O14" s="80"/>
      <c r="P14" s="80"/>
      <c r="Q14" s="80"/>
      <c r="R14" s="79"/>
      <c r="S14" s="80"/>
    </row>
    <row r="15" spans="1:19" ht="17.100000000000001" customHeight="1" x14ac:dyDescent="0.25">
      <c r="A15" s="64" t="s">
        <v>58</v>
      </c>
      <c r="B15" s="84"/>
      <c r="C15" s="84"/>
      <c r="D15" s="84">
        <v>452</v>
      </c>
      <c r="E15" s="82">
        <v>411</v>
      </c>
      <c r="F15" s="82">
        <v>532</v>
      </c>
      <c r="G15" s="82">
        <v>555</v>
      </c>
      <c r="H15" s="77"/>
      <c r="I15" s="78"/>
      <c r="J15" s="78"/>
      <c r="K15" s="78"/>
      <c r="L15" s="79"/>
      <c r="M15" s="80"/>
      <c r="N15" s="80"/>
      <c r="O15" s="80"/>
      <c r="P15" s="80"/>
      <c r="Q15" s="80"/>
      <c r="R15" s="79"/>
      <c r="S15" s="80"/>
    </row>
    <row r="16" spans="1:19" ht="17.100000000000001" customHeight="1" x14ac:dyDescent="0.25">
      <c r="A16" s="64" t="s">
        <v>61</v>
      </c>
      <c r="B16" s="82"/>
      <c r="C16" s="82"/>
      <c r="D16" s="82">
        <v>1320</v>
      </c>
      <c r="E16" s="82">
        <v>1240</v>
      </c>
      <c r="F16" s="82">
        <v>1520</v>
      </c>
      <c r="G16" s="82">
        <v>1310</v>
      </c>
      <c r="H16" s="77"/>
      <c r="I16" s="78"/>
      <c r="J16" s="78"/>
      <c r="K16" s="78"/>
      <c r="L16" s="79"/>
      <c r="M16" s="80"/>
      <c r="N16" s="80"/>
      <c r="O16" s="80"/>
      <c r="P16" s="80"/>
      <c r="Q16" s="80"/>
      <c r="R16" s="79"/>
      <c r="S16" s="80"/>
    </row>
    <row r="17" spans="1:19" ht="17.100000000000001" customHeight="1" x14ac:dyDescent="0.25">
      <c r="A17" s="64" t="s">
        <v>62</v>
      </c>
      <c r="B17" s="82"/>
      <c r="C17" s="82"/>
      <c r="D17" s="82">
        <v>550</v>
      </c>
      <c r="E17" s="82">
        <v>710</v>
      </c>
      <c r="F17" s="82">
        <v>990</v>
      </c>
      <c r="G17" s="82">
        <v>870</v>
      </c>
      <c r="H17" s="77"/>
      <c r="I17" s="78"/>
      <c r="J17" s="78"/>
      <c r="K17" s="78"/>
      <c r="L17" s="79"/>
      <c r="M17" s="80"/>
      <c r="N17" s="80"/>
      <c r="O17" s="80"/>
      <c r="P17" s="80"/>
      <c r="Q17" s="80"/>
      <c r="R17" s="79"/>
      <c r="S17" s="80"/>
    </row>
    <row r="18" spans="1:19" ht="17.100000000000001" customHeight="1" x14ac:dyDescent="0.25">
      <c r="A18" s="64" t="s">
        <v>63</v>
      </c>
      <c r="B18" s="82"/>
      <c r="C18" s="82"/>
      <c r="D18" s="82">
        <v>3100</v>
      </c>
      <c r="E18" s="82">
        <v>4120</v>
      </c>
      <c r="F18" s="82">
        <v>5070</v>
      </c>
      <c r="G18" s="82">
        <v>5650</v>
      </c>
      <c r="H18" s="77"/>
      <c r="I18" s="78"/>
      <c r="J18" s="78"/>
      <c r="K18" s="78"/>
      <c r="L18" s="79"/>
      <c r="M18" s="80"/>
      <c r="N18" s="80"/>
      <c r="O18" s="80"/>
      <c r="P18" s="80"/>
      <c r="Q18" s="80"/>
      <c r="R18" s="79"/>
      <c r="S18" s="80"/>
    </row>
    <row r="19" spans="1:19" ht="17.100000000000001" customHeight="1" x14ac:dyDescent="0.25">
      <c r="A19" s="64" t="s">
        <v>64</v>
      </c>
      <c r="B19" s="82"/>
      <c r="C19" s="82"/>
      <c r="D19" s="82">
        <v>1600</v>
      </c>
      <c r="E19" s="82">
        <v>2070</v>
      </c>
      <c r="F19" s="82">
        <v>2650</v>
      </c>
      <c r="G19" s="82">
        <v>3080</v>
      </c>
      <c r="H19" s="77"/>
      <c r="I19" s="78"/>
      <c r="J19" s="78"/>
      <c r="K19" s="78"/>
      <c r="L19" s="79"/>
      <c r="M19" s="80"/>
      <c r="N19" s="80"/>
      <c r="O19" s="80"/>
      <c r="P19" s="80"/>
      <c r="Q19" s="80"/>
      <c r="R19" s="79"/>
      <c r="S19" s="80"/>
    </row>
    <row r="20" spans="1:19" ht="17.100000000000001" customHeight="1" x14ac:dyDescent="0.25">
      <c r="A20" s="64" t="s">
        <v>19</v>
      </c>
      <c r="B20" s="82"/>
      <c r="C20" s="82"/>
      <c r="D20" s="82">
        <v>8000</v>
      </c>
      <c r="E20" s="82">
        <v>6190</v>
      </c>
      <c r="F20" s="82">
        <v>5425</v>
      </c>
      <c r="G20" s="82">
        <v>7001</v>
      </c>
      <c r="H20" s="77"/>
      <c r="I20" s="78"/>
      <c r="J20" s="78"/>
      <c r="K20" s="78"/>
      <c r="L20" s="79"/>
      <c r="M20" s="80"/>
      <c r="N20" s="80"/>
      <c r="O20" s="80"/>
      <c r="P20" s="80"/>
      <c r="Q20" s="80"/>
      <c r="R20" s="79"/>
      <c r="S20" s="80"/>
    </row>
    <row r="21" spans="1:19" ht="17.100000000000001" customHeight="1" x14ac:dyDescent="0.35">
      <c r="A21" s="68"/>
      <c r="B21" s="81"/>
      <c r="C21" s="81"/>
      <c r="D21" s="81"/>
      <c r="E21" s="81"/>
      <c r="F21" s="82"/>
      <c r="G21" s="82"/>
      <c r="H21" s="77"/>
      <c r="I21" s="78"/>
      <c r="J21" s="78"/>
      <c r="K21" s="78"/>
      <c r="L21" s="79"/>
      <c r="M21" s="80"/>
      <c r="N21" s="80"/>
      <c r="O21" s="80"/>
      <c r="P21" s="80"/>
      <c r="Q21" s="80"/>
      <c r="R21" s="79"/>
      <c r="S21" s="80"/>
    </row>
    <row r="22" spans="1:19" ht="17.100000000000001" hidden="1" customHeight="1" x14ac:dyDescent="0.25">
      <c r="A22" s="64" t="s">
        <v>46</v>
      </c>
      <c r="B22" s="81"/>
      <c r="C22" s="81"/>
      <c r="D22" s="81"/>
      <c r="E22" s="81"/>
      <c r="F22" s="81"/>
      <c r="G22" s="81">
        <v>0.28999999999999998</v>
      </c>
      <c r="H22" s="77"/>
      <c r="I22" s="78"/>
      <c r="J22" s="78"/>
      <c r="K22" s="78"/>
      <c r="L22" s="79"/>
      <c r="M22" s="80"/>
      <c r="N22" s="80"/>
      <c r="O22" s="80"/>
      <c r="P22" s="80"/>
      <c r="Q22" s="80"/>
      <c r="R22" s="79"/>
      <c r="S22" s="80"/>
    </row>
    <row r="23" spans="1:19" ht="17.100000000000001" hidden="1" customHeight="1" x14ac:dyDescent="0.25">
      <c r="A23" s="64" t="s">
        <v>45</v>
      </c>
      <c r="B23" s="81"/>
      <c r="C23" s="81"/>
      <c r="D23" s="81"/>
      <c r="E23" s="81"/>
      <c r="F23" s="81"/>
      <c r="G23" s="76">
        <f>G22/7.13</f>
        <v>4.067321178120617E-2</v>
      </c>
      <c r="H23" s="77"/>
      <c r="I23" s="78"/>
      <c r="J23" s="78"/>
      <c r="K23" s="78"/>
      <c r="L23" s="79"/>
      <c r="M23" s="80"/>
      <c r="N23" s="80"/>
      <c r="O23" s="80"/>
      <c r="P23" s="80"/>
      <c r="Q23" s="80"/>
      <c r="R23" s="79"/>
      <c r="S23" s="80"/>
    </row>
    <row r="24" spans="1:19" ht="17.100000000000001" hidden="1" customHeight="1" x14ac:dyDescent="0.35">
      <c r="A24" s="68"/>
      <c r="B24" s="81"/>
      <c r="C24" s="81"/>
      <c r="D24" s="81"/>
      <c r="E24" s="81"/>
      <c r="F24" s="82"/>
      <c r="G24" s="82"/>
      <c r="H24" s="77"/>
      <c r="I24" s="78"/>
      <c r="J24" s="78"/>
      <c r="K24" s="78"/>
      <c r="L24" s="79"/>
      <c r="M24" s="80"/>
      <c r="N24" s="80"/>
      <c r="O24" s="80"/>
      <c r="P24" s="80"/>
      <c r="Q24" s="80"/>
      <c r="R24" s="79"/>
      <c r="S24" s="80"/>
    </row>
    <row r="25" spans="1:19" ht="17.100000000000001" customHeight="1" x14ac:dyDescent="0.25">
      <c r="A25" s="74" t="s">
        <v>169</v>
      </c>
      <c r="B25" s="83"/>
      <c r="C25" s="83"/>
      <c r="D25" s="83">
        <v>472.39</v>
      </c>
      <c r="E25" s="83">
        <v>778.65</v>
      </c>
      <c r="F25" s="83">
        <v>1036.98</v>
      </c>
      <c r="G25" s="83">
        <v>1047.1500000000001</v>
      </c>
      <c r="H25" s="77"/>
      <c r="I25" s="78"/>
      <c r="J25" s="78"/>
      <c r="K25" s="78"/>
      <c r="L25" s="79"/>
      <c r="M25" s="80"/>
      <c r="N25" s="80"/>
      <c r="O25" s="80"/>
      <c r="P25" s="80"/>
      <c r="Q25" s="80"/>
      <c r="R25" s="79"/>
      <c r="S25" s="80"/>
    </row>
    <row r="26" spans="1:19" ht="17.100000000000001" customHeight="1" x14ac:dyDescent="0.25">
      <c r="A26" s="64" t="s">
        <v>68</v>
      </c>
      <c r="B26" s="82"/>
      <c r="C26" s="82"/>
      <c r="D26" s="82">
        <v>23.1</v>
      </c>
      <c r="E26" s="82">
        <v>43.88</v>
      </c>
      <c r="F26" s="82">
        <v>57.77</v>
      </c>
      <c r="G26" s="82">
        <v>65.36</v>
      </c>
      <c r="H26" s="77"/>
      <c r="I26" s="78"/>
      <c r="J26" s="78"/>
      <c r="K26" s="78"/>
      <c r="L26" s="79"/>
      <c r="M26" s="80"/>
      <c r="N26" s="80"/>
      <c r="O26" s="80"/>
      <c r="P26" s="80"/>
      <c r="Q26" s="80"/>
      <c r="R26" s="79"/>
      <c r="S26" s="80"/>
    </row>
    <row r="27" spans="1:19" ht="17.100000000000001" customHeight="1" x14ac:dyDescent="0.25">
      <c r="A27" s="64" t="s">
        <v>44</v>
      </c>
      <c r="B27" s="82"/>
      <c r="C27" s="82"/>
      <c r="D27" s="82">
        <v>20.48</v>
      </c>
      <c r="E27" s="82">
        <v>40.19</v>
      </c>
      <c r="F27" s="82">
        <v>50.48</v>
      </c>
      <c r="G27" s="82"/>
      <c r="H27" s="77"/>
      <c r="I27" s="78"/>
      <c r="J27" s="78"/>
      <c r="K27" s="78"/>
      <c r="L27" s="79"/>
      <c r="M27" s="80"/>
      <c r="N27" s="80"/>
      <c r="O27" s="80"/>
      <c r="P27" s="80"/>
      <c r="Q27" s="80"/>
      <c r="R27" s="79"/>
      <c r="S27" s="80"/>
    </row>
    <row r="28" spans="1:19" ht="17.100000000000001" customHeight="1" x14ac:dyDescent="0.25">
      <c r="A28" s="64" t="s">
        <v>17</v>
      </c>
      <c r="B28" s="76"/>
      <c r="C28" s="76"/>
      <c r="D28" s="76">
        <v>5.1999999999999998E-2</v>
      </c>
      <c r="E28" s="76">
        <v>5.8000000000000003E-2</v>
      </c>
      <c r="F28" s="76">
        <v>0.06</v>
      </c>
      <c r="G28" s="76">
        <v>5.3999999999999999E-2</v>
      </c>
      <c r="H28" s="77"/>
      <c r="I28" s="78"/>
      <c r="J28" s="78"/>
      <c r="K28" s="78"/>
      <c r="L28" s="79"/>
      <c r="M28" s="80"/>
      <c r="N28" s="80"/>
      <c r="O28" s="80"/>
      <c r="P28" s="80"/>
      <c r="Q28" s="80"/>
      <c r="R28" s="79"/>
      <c r="S28" s="80"/>
    </row>
    <row r="29" spans="1:19" ht="17.100000000000001" customHeight="1" x14ac:dyDescent="0.25">
      <c r="A29" s="64" t="s">
        <v>65</v>
      </c>
      <c r="B29" s="82"/>
      <c r="C29" s="82"/>
      <c r="D29" s="82">
        <v>6.09</v>
      </c>
      <c r="E29" s="82">
        <v>11.53</v>
      </c>
      <c r="F29" s="82">
        <v>15.8</v>
      </c>
      <c r="G29" s="82">
        <v>20.67</v>
      </c>
      <c r="H29" s="77"/>
      <c r="I29" s="78"/>
      <c r="J29" s="78"/>
      <c r="K29" s="78"/>
      <c r="L29" s="79"/>
      <c r="M29" s="80"/>
      <c r="N29" s="80"/>
      <c r="O29" s="80"/>
      <c r="P29" s="80"/>
      <c r="Q29" s="80"/>
      <c r="R29" s="79"/>
      <c r="S29" s="80"/>
    </row>
    <row r="30" spans="1:19" ht="17.100000000000001" customHeight="1" x14ac:dyDescent="0.25">
      <c r="A30" s="64" t="s">
        <v>66</v>
      </c>
      <c r="B30" s="82"/>
      <c r="C30" s="82"/>
      <c r="D30" s="82">
        <v>12.67</v>
      </c>
      <c r="E30" s="82">
        <v>21.21</v>
      </c>
      <c r="F30" s="82">
        <v>31.48</v>
      </c>
      <c r="G30" s="82">
        <v>29.46</v>
      </c>
      <c r="H30" s="77"/>
      <c r="I30" s="78"/>
      <c r="J30" s="78"/>
      <c r="K30" s="78"/>
      <c r="L30" s="79"/>
      <c r="M30" s="80"/>
      <c r="N30" s="80"/>
      <c r="O30" s="80"/>
      <c r="P30" s="80"/>
      <c r="Q30" s="80"/>
      <c r="R30" s="79"/>
      <c r="S30" s="80"/>
    </row>
    <row r="31" spans="1:19" ht="17.100000000000001" customHeight="1" x14ac:dyDescent="0.25">
      <c r="A31" s="64"/>
      <c r="B31" s="82"/>
      <c r="C31" s="82"/>
      <c r="D31" s="82"/>
      <c r="E31" s="82"/>
      <c r="F31" s="82"/>
      <c r="G31" s="82"/>
      <c r="H31" s="77"/>
      <c r="I31" s="78"/>
      <c r="J31" s="78"/>
      <c r="K31" s="78"/>
      <c r="L31" s="79"/>
      <c r="M31" s="80"/>
      <c r="N31" s="80"/>
      <c r="O31" s="80"/>
      <c r="P31" s="80"/>
      <c r="Q31" s="80"/>
      <c r="R31" s="79"/>
      <c r="S31" s="80"/>
    </row>
    <row r="32" spans="1:19" ht="16.5" customHeight="1" x14ac:dyDescent="0.25">
      <c r="A32" s="64" t="s">
        <v>10</v>
      </c>
      <c r="B32" s="84">
        <v>302.08999999999997</v>
      </c>
      <c r="C32" s="84">
        <v>530.02</v>
      </c>
      <c r="D32" s="84">
        <v>1040</v>
      </c>
      <c r="E32" s="82">
        <v>1520</v>
      </c>
      <c r="F32" s="84">
        <v>2006</v>
      </c>
      <c r="G32" s="82">
        <v>2310</v>
      </c>
      <c r="H32" s="77"/>
      <c r="I32" s="78"/>
      <c r="J32" s="78"/>
      <c r="K32" s="78"/>
      <c r="L32" s="79"/>
      <c r="M32" s="80"/>
      <c r="N32" s="80"/>
      <c r="O32" s="80"/>
      <c r="P32" s="80"/>
      <c r="Q32" s="80"/>
      <c r="R32" s="79"/>
      <c r="S32" s="80"/>
    </row>
    <row r="33" spans="1:19" ht="17.100000000000001" customHeight="1" x14ac:dyDescent="0.35">
      <c r="A33" s="68" t="s">
        <v>432</v>
      </c>
      <c r="B33" s="78">
        <v>128.27000000000001</v>
      </c>
      <c r="C33" s="78">
        <v>149.80000000000001</v>
      </c>
      <c r="D33" s="78">
        <v>209.03</v>
      </c>
      <c r="E33" s="78">
        <v>256.3</v>
      </c>
      <c r="F33" s="80">
        <v>301.99</v>
      </c>
      <c r="G33" s="80">
        <v>360.5</v>
      </c>
      <c r="H33" s="77"/>
      <c r="I33" s="78"/>
      <c r="J33" s="78"/>
      <c r="K33" s="78"/>
      <c r="L33" s="79"/>
      <c r="M33" s="80"/>
      <c r="N33" s="80"/>
      <c r="O33" s="80"/>
      <c r="P33" s="80"/>
      <c r="Q33" s="80"/>
      <c r="R33" s="79"/>
      <c r="S33" s="80"/>
    </row>
    <row r="34" spans="1:19" ht="17.100000000000001" customHeight="1" x14ac:dyDescent="0.35">
      <c r="A34" s="68" t="s">
        <v>429</v>
      </c>
      <c r="B34" s="78"/>
      <c r="C34" s="78">
        <v>23.02</v>
      </c>
      <c r="D34" s="78">
        <v>95.18</v>
      </c>
      <c r="E34" s="78">
        <v>206.42</v>
      </c>
      <c r="F34" s="80">
        <v>341.14</v>
      </c>
      <c r="G34" s="80">
        <v>440.53</v>
      </c>
      <c r="H34" s="77"/>
      <c r="I34" s="78"/>
      <c r="J34" s="78"/>
      <c r="K34" s="78"/>
      <c r="L34" s="79"/>
      <c r="M34" s="80"/>
      <c r="N34" s="80"/>
      <c r="O34" s="80"/>
      <c r="P34" s="80"/>
      <c r="Q34" s="80"/>
      <c r="R34" s="79"/>
      <c r="S34" s="80"/>
    </row>
    <row r="35" spans="1:19" ht="17.100000000000001" customHeight="1" x14ac:dyDescent="0.25">
      <c r="A35" s="64" t="s">
        <v>18</v>
      </c>
      <c r="B35" s="76">
        <v>0.59199999999999997</v>
      </c>
      <c r="C35" s="76">
        <v>0.504</v>
      </c>
      <c r="D35" s="76">
        <v>0.50900000000000001</v>
      </c>
      <c r="E35" s="76">
        <v>0.67200000000000004</v>
      </c>
      <c r="F35" s="76">
        <v>0.65600000000000003</v>
      </c>
      <c r="G35" s="86">
        <v>0.64</v>
      </c>
      <c r="H35" s="77"/>
      <c r="I35" s="78"/>
      <c r="J35" s="78"/>
      <c r="K35" s="78"/>
      <c r="L35" s="79"/>
      <c r="M35" s="80"/>
      <c r="N35" s="80"/>
      <c r="O35" s="80"/>
      <c r="P35" s="80"/>
      <c r="Q35" s="80"/>
      <c r="R35" s="79"/>
      <c r="S35" s="80"/>
    </row>
    <row r="36" spans="1:19" ht="17.100000000000001" customHeight="1" x14ac:dyDescent="0.35">
      <c r="D36" s="78"/>
      <c r="E36" s="78"/>
      <c r="F36" s="80"/>
      <c r="G36" s="80"/>
      <c r="H36" s="77"/>
      <c r="I36" s="78"/>
      <c r="J36" s="78"/>
      <c r="K36" s="78"/>
      <c r="L36" s="79"/>
      <c r="M36" s="80"/>
      <c r="N36" s="80"/>
      <c r="O36" s="80"/>
      <c r="P36" s="80"/>
      <c r="Q36" s="80"/>
      <c r="R36" s="79"/>
      <c r="S36" s="80"/>
    </row>
    <row r="37" spans="1:19" ht="17.100000000000001" customHeight="1" x14ac:dyDescent="0.35">
      <c r="D37" s="78"/>
      <c r="E37" s="78"/>
      <c r="F37" s="80"/>
      <c r="G37" s="80"/>
      <c r="H37" s="77"/>
      <c r="I37" s="78"/>
      <c r="J37" s="78"/>
      <c r="K37" s="78"/>
      <c r="L37" s="79"/>
      <c r="M37" s="80"/>
      <c r="N37" s="80"/>
      <c r="O37" s="80"/>
      <c r="P37" s="80"/>
      <c r="Q37" s="80"/>
      <c r="R37" s="79"/>
      <c r="S37" s="80"/>
    </row>
    <row r="38" spans="1:19" ht="17.100000000000001" customHeight="1" x14ac:dyDescent="0.35">
      <c r="D38" s="78"/>
      <c r="E38" s="78"/>
      <c r="F38" s="80"/>
      <c r="G38" s="80"/>
      <c r="H38" s="77"/>
      <c r="I38" s="78"/>
      <c r="J38" s="78"/>
      <c r="K38" s="78"/>
      <c r="L38" s="79"/>
      <c r="M38" s="80"/>
      <c r="N38" s="80"/>
      <c r="O38" s="80"/>
      <c r="P38" s="80"/>
      <c r="Q38" s="80"/>
      <c r="R38" s="79"/>
      <c r="S38" s="80"/>
    </row>
    <row r="39" spans="1:19" ht="17.100000000000001" customHeight="1" x14ac:dyDescent="0.35">
      <c r="D39" s="78"/>
      <c r="E39" s="78"/>
      <c r="F39" s="80"/>
      <c r="G39" s="80"/>
      <c r="H39" s="77"/>
      <c r="I39" s="78"/>
      <c r="J39" s="78"/>
      <c r="K39" s="78"/>
      <c r="L39" s="79"/>
      <c r="M39" s="80"/>
      <c r="N39" s="80"/>
      <c r="O39" s="80"/>
      <c r="P39" s="80"/>
      <c r="Q39" s="80"/>
      <c r="R39" s="79"/>
      <c r="S39" s="80"/>
    </row>
    <row r="40" spans="1:19" ht="17.100000000000001" customHeight="1" x14ac:dyDescent="0.35">
      <c r="D40" s="78"/>
      <c r="E40" s="78"/>
      <c r="F40" s="80"/>
      <c r="G40" s="80"/>
      <c r="H40" s="77"/>
      <c r="I40" s="78"/>
      <c r="J40" s="78"/>
      <c r="K40" s="78"/>
      <c r="L40" s="79"/>
      <c r="M40" s="80"/>
      <c r="N40" s="80"/>
      <c r="O40" s="80"/>
      <c r="P40" s="80"/>
      <c r="Q40" s="80"/>
      <c r="R40" s="79"/>
      <c r="S40" s="80"/>
    </row>
    <row r="41" spans="1:19" ht="17.100000000000001" customHeight="1" x14ac:dyDescent="0.35">
      <c r="D41" s="78"/>
      <c r="E41" s="78"/>
      <c r="F41" s="80"/>
      <c r="G41" s="80"/>
      <c r="H41" s="77"/>
      <c r="I41" s="78"/>
      <c r="J41" s="78"/>
      <c r="K41" s="78"/>
      <c r="L41" s="79"/>
      <c r="M41" s="80"/>
      <c r="N41" s="80"/>
      <c r="O41" s="80"/>
      <c r="P41" s="80"/>
      <c r="Q41" s="80"/>
      <c r="R41" s="79"/>
      <c r="S41" s="80"/>
    </row>
    <row r="42" spans="1:19" ht="17.100000000000001" customHeight="1" x14ac:dyDescent="0.35">
      <c r="D42" s="78"/>
      <c r="E42" s="78"/>
      <c r="F42" s="80"/>
      <c r="G42" s="80"/>
      <c r="H42" s="77"/>
      <c r="I42" s="78"/>
      <c r="J42" s="78"/>
      <c r="K42" s="78"/>
      <c r="L42" s="79"/>
      <c r="M42" s="80"/>
      <c r="N42" s="80"/>
      <c r="O42" s="80"/>
      <c r="P42" s="80"/>
      <c r="Q42" s="80"/>
      <c r="R42" s="79"/>
      <c r="S42" s="80"/>
    </row>
    <row r="43" spans="1:19" ht="17.100000000000001" customHeight="1" x14ac:dyDescent="0.35">
      <c r="D43" s="78"/>
      <c r="E43" s="78"/>
      <c r="F43" s="80"/>
      <c r="G43" s="80"/>
      <c r="H43" s="77"/>
      <c r="I43" s="78"/>
      <c r="J43" s="78"/>
      <c r="K43" s="78"/>
      <c r="L43" s="79"/>
      <c r="M43" s="80"/>
      <c r="N43" s="80"/>
      <c r="O43" s="80"/>
      <c r="P43" s="80"/>
      <c r="Q43" s="80"/>
      <c r="R43" s="79"/>
      <c r="S43" s="80"/>
    </row>
    <row r="44" spans="1:19" ht="17.100000000000001" customHeight="1" x14ac:dyDescent="0.35">
      <c r="D44" s="78"/>
      <c r="E44" s="78"/>
      <c r="F44" s="80"/>
      <c r="G44" s="80"/>
      <c r="H44" s="77"/>
      <c r="I44" s="78"/>
      <c r="J44" s="78"/>
      <c r="K44" s="78"/>
      <c r="L44" s="79"/>
      <c r="M44" s="80"/>
      <c r="N44" s="80"/>
      <c r="O44" s="80"/>
      <c r="P44" s="80"/>
      <c r="Q44" s="80"/>
      <c r="R44" s="79"/>
      <c r="S44" s="80"/>
    </row>
    <row r="45" spans="1:19" ht="17.100000000000001" customHeight="1" x14ac:dyDescent="0.35">
      <c r="D45" s="78"/>
      <c r="E45" s="78"/>
      <c r="F45" s="80"/>
      <c r="G45" s="80"/>
      <c r="H45" s="77"/>
      <c r="I45" s="78"/>
      <c r="J45" s="78"/>
      <c r="K45" s="78"/>
      <c r="L45" s="79"/>
      <c r="M45" s="80"/>
      <c r="N45" s="80"/>
      <c r="O45" s="80"/>
      <c r="P45" s="80"/>
      <c r="Q45" s="80"/>
      <c r="R45" s="79"/>
      <c r="S45" s="80"/>
    </row>
    <row r="46" spans="1:19" ht="17.100000000000001" customHeight="1" x14ac:dyDescent="0.35">
      <c r="D46" s="78"/>
      <c r="E46" s="78"/>
      <c r="F46" s="80"/>
      <c r="G46" s="80"/>
      <c r="H46" s="77"/>
      <c r="I46" s="78"/>
      <c r="J46" s="78"/>
      <c r="K46" s="78"/>
      <c r="L46" s="79"/>
      <c r="M46" s="80"/>
      <c r="N46" s="80"/>
      <c r="O46" s="80"/>
      <c r="P46" s="80"/>
      <c r="Q46" s="80"/>
      <c r="R46" s="79"/>
      <c r="S46" s="80"/>
    </row>
  </sheetData>
  <phoneticPr fontId="1" type="noConversion"/>
  <conditionalFormatting sqref="D10:XFD10 A10">
    <cfRule type="colorScale" priority="4">
      <colorScale>
        <cfvo type="min"/>
        <cfvo type="max"/>
        <color rgb="FFFFEF9C"/>
        <color rgb="FF63BE7B"/>
      </colorScale>
    </cfRule>
  </conditionalFormatting>
  <conditionalFormatting sqref="D16:XFD16 A16">
    <cfRule type="colorScale" priority="3">
      <colorScale>
        <cfvo type="min"/>
        <cfvo type="max"/>
        <color rgb="FFFFEF9C"/>
        <color rgb="FF63BE7B"/>
      </colorScale>
    </cfRule>
  </conditionalFormatting>
  <conditionalFormatting sqref="B10:C10">
    <cfRule type="colorScale" priority="2">
      <colorScale>
        <cfvo type="min"/>
        <cfvo type="max"/>
        <color rgb="FFFFEF9C"/>
        <color rgb="FF63BE7B"/>
      </colorScale>
    </cfRule>
  </conditionalFormatting>
  <conditionalFormatting sqref="B16:C1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0" orientation="portrait" horizontalDpi="0" verticalDpi="0" copie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6A590-7C88-4180-A3CD-57468A62BA60}">
  <dimension ref="A1:P44"/>
  <sheetViews>
    <sheetView workbookViewId="0">
      <selection activeCell="J19" sqref="J19"/>
    </sheetView>
  </sheetViews>
  <sheetFormatPr defaultRowHeight="14.25" x14ac:dyDescent="0.2"/>
  <cols>
    <col min="1" max="1" width="33.875" style="50" customWidth="1"/>
    <col min="2" max="2" width="10.875" style="50" customWidth="1"/>
    <col min="3" max="3" width="11" style="50" customWidth="1"/>
    <col min="4" max="4" width="10.375" style="50" customWidth="1"/>
    <col min="5" max="5" width="11.25" style="50" customWidth="1"/>
    <col min="6" max="6" width="9.875" style="50" customWidth="1"/>
    <col min="7" max="16384" width="9" style="50"/>
  </cols>
  <sheetData>
    <row r="1" spans="1:16" s="112" customFormat="1" ht="21" customHeight="1" x14ac:dyDescent="0.2">
      <c r="A1" s="112" t="s">
        <v>188</v>
      </c>
      <c r="B1" s="112" t="s">
        <v>189</v>
      </c>
      <c r="C1" s="112" t="s">
        <v>4</v>
      </c>
      <c r="D1" s="112" t="s">
        <v>3</v>
      </c>
      <c r="E1" s="112" t="s">
        <v>2</v>
      </c>
      <c r="F1" s="112" t="s">
        <v>204</v>
      </c>
    </row>
    <row r="2" spans="1:16" ht="17.100000000000001" customHeight="1" x14ac:dyDescent="0.2">
      <c r="A2" s="63" t="s">
        <v>137</v>
      </c>
      <c r="B2" s="58">
        <v>132</v>
      </c>
      <c r="C2" s="58">
        <v>191.5</v>
      </c>
      <c r="D2" s="58">
        <v>229.8</v>
      </c>
      <c r="E2" s="58">
        <v>267.44</v>
      </c>
      <c r="F2" s="58">
        <v>306.93</v>
      </c>
      <c r="G2" s="58"/>
      <c r="H2" s="58"/>
      <c r="I2" s="58"/>
      <c r="J2" s="58"/>
      <c r="K2" s="58"/>
      <c r="L2" s="58"/>
      <c r="M2" s="58"/>
      <c r="N2" s="58"/>
      <c r="O2" s="58"/>
      <c r="P2" s="58"/>
    </row>
    <row r="3" spans="1:16" ht="17.100000000000001" customHeight="1" x14ac:dyDescent="0.2">
      <c r="A3" s="63" t="s">
        <v>191</v>
      </c>
      <c r="B3" s="58"/>
      <c r="C3" s="58"/>
      <c r="D3" s="58">
        <v>1183.25</v>
      </c>
      <c r="E3" s="58">
        <v>1351.43</v>
      </c>
      <c r="F3" s="58">
        <v>1395.65</v>
      </c>
      <c r="G3" s="58"/>
      <c r="H3" s="58"/>
      <c r="I3" s="58"/>
      <c r="J3" s="58"/>
      <c r="K3" s="58"/>
      <c r="L3" s="58"/>
      <c r="M3" s="58"/>
      <c r="N3" s="58"/>
      <c r="O3" s="58"/>
      <c r="P3" s="58"/>
    </row>
    <row r="4" spans="1:16" ht="17.100000000000001" customHeight="1" x14ac:dyDescent="0.2">
      <c r="A4" s="63" t="s">
        <v>193</v>
      </c>
      <c r="B4" s="58">
        <v>184</v>
      </c>
      <c r="C4" s="58">
        <v>485</v>
      </c>
      <c r="D4" s="58">
        <v>479</v>
      </c>
      <c r="E4" s="58">
        <v>335.49</v>
      </c>
      <c r="F4" s="58">
        <v>325.24</v>
      </c>
      <c r="G4" s="58"/>
      <c r="H4" s="58"/>
      <c r="I4" s="58"/>
      <c r="J4" s="58"/>
      <c r="K4" s="58"/>
      <c r="L4" s="58"/>
      <c r="M4" s="58"/>
      <c r="N4" s="58"/>
      <c r="O4" s="58"/>
      <c r="P4" s="58"/>
    </row>
    <row r="5" spans="1:16" ht="17.100000000000001" customHeight="1" x14ac:dyDescent="0.2">
      <c r="A5" s="63" t="s">
        <v>18</v>
      </c>
      <c r="B5" s="58"/>
      <c r="C5" s="58"/>
      <c r="D5" s="61">
        <v>1.8222</v>
      </c>
      <c r="E5" s="61">
        <v>1.3819999999999999</v>
      </c>
      <c r="F5" s="61">
        <v>0.94899999999999995</v>
      </c>
      <c r="G5" s="58"/>
      <c r="H5" s="58"/>
      <c r="I5" s="58"/>
      <c r="J5" s="58"/>
      <c r="K5" s="58"/>
      <c r="L5" s="58"/>
      <c r="M5" s="58"/>
      <c r="N5" s="58"/>
      <c r="O5" s="58"/>
      <c r="P5" s="58"/>
    </row>
    <row r="6" spans="1:16" ht="17.100000000000001" customHeight="1" x14ac:dyDescent="0.2">
      <c r="A6" s="63" t="s">
        <v>194</v>
      </c>
      <c r="B6" s="61">
        <v>8.4199999999999997E-2</v>
      </c>
      <c r="C6" s="61">
        <v>7.0800000000000002E-2</v>
      </c>
      <c r="D6" s="61">
        <v>7.9399999999999998E-2</v>
      </c>
      <c r="E6" s="61">
        <v>7.7100000000000002E-2</v>
      </c>
      <c r="F6" s="61">
        <v>7.4200000000000002E-2</v>
      </c>
      <c r="G6" s="58"/>
      <c r="H6" s="58"/>
      <c r="I6" s="58"/>
      <c r="J6" s="58"/>
      <c r="K6" s="58"/>
      <c r="L6" s="58"/>
      <c r="M6" s="58"/>
      <c r="N6" s="58"/>
      <c r="O6" s="58"/>
      <c r="P6" s="58"/>
    </row>
    <row r="7" spans="1:16" ht="17.100000000000001" customHeight="1" x14ac:dyDescent="0.2">
      <c r="A7" s="63" t="s">
        <v>195</v>
      </c>
      <c r="B7" s="58"/>
      <c r="C7" s="58"/>
      <c r="D7" s="58"/>
      <c r="E7" s="58">
        <v>937.1</v>
      </c>
      <c r="F7" s="58">
        <v>725.96</v>
      </c>
      <c r="G7" s="58"/>
      <c r="H7" s="58"/>
      <c r="I7" s="58"/>
      <c r="J7" s="58"/>
      <c r="K7" s="58"/>
      <c r="L7" s="58"/>
      <c r="M7" s="58"/>
      <c r="N7" s="58"/>
      <c r="O7" s="58"/>
      <c r="P7" s="58"/>
    </row>
    <row r="8" spans="1:16" ht="17.100000000000001" customHeight="1" x14ac:dyDescent="0.2">
      <c r="A8" s="63" t="s">
        <v>199</v>
      </c>
      <c r="B8" s="58"/>
      <c r="C8" s="58"/>
      <c r="D8" s="58">
        <v>306</v>
      </c>
      <c r="E8" s="58">
        <v>492</v>
      </c>
      <c r="F8" s="58">
        <v>401.96</v>
      </c>
      <c r="G8" s="58"/>
      <c r="H8" s="58"/>
      <c r="I8" s="58"/>
      <c r="J8" s="58"/>
      <c r="K8" s="58"/>
      <c r="L8" s="58"/>
      <c r="M8" s="58"/>
      <c r="N8" s="58"/>
      <c r="O8" s="58"/>
      <c r="P8" s="58"/>
    </row>
    <row r="9" spans="1:16" ht="17.100000000000001" customHeight="1" x14ac:dyDescent="0.2">
      <c r="A9" s="63" t="s">
        <v>202</v>
      </c>
      <c r="B9" s="58"/>
      <c r="C9" s="58">
        <v>1407.12</v>
      </c>
      <c r="D9" s="58"/>
      <c r="E9" s="58"/>
      <c r="F9" s="58"/>
      <c r="G9" s="58"/>
      <c r="H9" s="58"/>
      <c r="I9" s="58"/>
      <c r="J9" s="58"/>
      <c r="K9" s="58"/>
      <c r="L9" s="58"/>
      <c r="M9" s="58"/>
      <c r="N9" s="58"/>
      <c r="O9" s="58"/>
      <c r="P9" s="58"/>
    </row>
    <row r="10" spans="1:16" ht="17.100000000000001" customHeight="1" x14ac:dyDescent="0.2">
      <c r="A10" s="63" t="s">
        <v>196</v>
      </c>
      <c r="B10" s="58"/>
      <c r="C10" s="58">
        <v>3796</v>
      </c>
      <c r="D10" s="58">
        <v>4418</v>
      </c>
      <c r="E10" s="58">
        <v>4101.2</v>
      </c>
      <c r="F10" s="58">
        <v>4251.97</v>
      </c>
      <c r="G10" s="58"/>
      <c r="H10" s="58"/>
      <c r="I10" s="58"/>
      <c r="J10" s="58"/>
      <c r="K10" s="58"/>
      <c r="L10" s="58"/>
      <c r="M10" s="58"/>
      <c r="N10" s="58"/>
      <c r="O10" s="58"/>
      <c r="P10" s="58"/>
    </row>
    <row r="11" spans="1:16" ht="17.100000000000001" customHeight="1" x14ac:dyDescent="0.2">
      <c r="A11" s="63" t="s">
        <v>203</v>
      </c>
      <c r="B11" s="58"/>
      <c r="C11" s="58">
        <v>4911</v>
      </c>
      <c r="D11" s="58"/>
      <c r="E11" s="58"/>
      <c r="F11" s="58">
        <v>5627</v>
      </c>
      <c r="G11" s="58"/>
      <c r="H11" s="58"/>
      <c r="I11" s="58"/>
      <c r="J11" s="58"/>
      <c r="K11" s="58"/>
      <c r="L11" s="58"/>
      <c r="M11" s="58"/>
      <c r="N11" s="58"/>
      <c r="O11" s="58"/>
      <c r="P11" s="58"/>
    </row>
    <row r="12" spans="1:16" ht="17.100000000000001" customHeight="1" x14ac:dyDescent="0.2">
      <c r="A12" s="63" t="s">
        <v>23</v>
      </c>
      <c r="B12" s="58"/>
      <c r="C12" s="58"/>
      <c r="D12" s="58">
        <v>12925</v>
      </c>
      <c r="E12" s="58">
        <v>12317</v>
      </c>
      <c r="F12" s="58">
        <v>14262</v>
      </c>
      <c r="G12" s="58"/>
      <c r="H12" s="58"/>
      <c r="I12" s="58"/>
      <c r="J12" s="58"/>
      <c r="K12" s="58"/>
      <c r="L12" s="58"/>
      <c r="M12" s="58"/>
      <c r="N12" s="58"/>
      <c r="O12" s="58"/>
      <c r="P12" s="58"/>
    </row>
    <row r="13" spans="1:16" s="103" customFormat="1" ht="17.100000000000001" customHeight="1" x14ac:dyDescent="0.2">
      <c r="A13" s="105" t="s">
        <v>451</v>
      </c>
      <c r="B13" s="113"/>
      <c r="C13" s="113"/>
      <c r="D13" s="113">
        <v>327.2</v>
      </c>
      <c r="E13" s="113">
        <v>610.49</v>
      </c>
      <c r="F13" s="113">
        <v>821.71</v>
      </c>
      <c r="G13" s="113"/>
      <c r="H13" s="113"/>
      <c r="I13" s="113"/>
      <c r="J13" s="113"/>
      <c r="K13" s="113"/>
      <c r="L13" s="113"/>
      <c r="M13" s="113"/>
      <c r="N13" s="113"/>
      <c r="O13" s="113"/>
      <c r="P13" s="113"/>
    </row>
    <row r="14" spans="1:16" ht="17.100000000000001" customHeight="1" x14ac:dyDescent="0.2">
      <c r="A14" s="63" t="s">
        <v>201</v>
      </c>
      <c r="B14" s="61">
        <v>0.23100000000000001</v>
      </c>
      <c r="C14" s="61">
        <v>0.2457</v>
      </c>
      <c r="D14" s="61">
        <v>0.25650000000000001</v>
      </c>
      <c r="E14" s="61">
        <v>0.25530000000000003</v>
      </c>
      <c r="F14" s="61">
        <v>0.1888</v>
      </c>
      <c r="G14" s="58"/>
      <c r="H14" s="58"/>
      <c r="I14" s="58"/>
      <c r="J14" s="58"/>
      <c r="K14" s="58"/>
      <c r="L14" s="58"/>
      <c r="M14" s="58"/>
      <c r="N14" s="58"/>
      <c r="O14" s="58"/>
      <c r="P14" s="58"/>
    </row>
    <row r="15" spans="1:16" ht="17.100000000000001" customHeight="1" x14ac:dyDescent="0.2">
      <c r="A15" s="63" t="s">
        <v>65</v>
      </c>
      <c r="B15" s="58">
        <v>4.83</v>
      </c>
      <c r="C15" s="58">
        <v>9.6</v>
      </c>
      <c r="D15" s="58">
        <v>17.57</v>
      </c>
      <c r="E15" s="58">
        <v>25.69</v>
      </c>
      <c r="F15" s="58">
        <v>24.02</v>
      </c>
      <c r="G15" s="58"/>
      <c r="H15" s="58"/>
      <c r="I15" s="58"/>
      <c r="J15" s="58"/>
      <c r="K15" s="58"/>
      <c r="L15" s="58"/>
      <c r="M15" s="58"/>
      <c r="N15" s="58"/>
      <c r="O15" s="58"/>
      <c r="P15" s="58"/>
    </row>
    <row r="16" spans="1:16" ht="17.100000000000001" customHeight="1" x14ac:dyDescent="0.2">
      <c r="A16" s="63" t="s">
        <v>66</v>
      </c>
      <c r="B16" s="58">
        <v>6.78</v>
      </c>
      <c r="C16" s="58">
        <v>11.76</v>
      </c>
      <c r="D16" s="58">
        <v>15.77</v>
      </c>
      <c r="E16" s="58">
        <v>21.88</v>
      </c>
      <c r="F16" s="58">
        <v>19.78</v>
      </c>
      <c r="G16" s="58"/>
      <c r="H16" s="58"/>
      <c r="I16" s="58"/>
      <c r="J16" s="58"/>
      <c r="K16" s="58"/>
      <c r="L16" s="58"/>
      <c r="M16" s="58"/>
      <c r="N16" s="58"/>
      <c r="O16" s="58"/>
      <c r="P16" s="58"/>
    </row>
    <row r="17" spans="1:16" ht="17.100000000000001" customHeight="1" x14ac:dyDescent="0.2">
      <c r="A17" s="63"/>
      <c r="B17" s="58"/>
      <c r="C17" s="58"/>
      <c r="D17" s="58"/>
      <c r="E17" s="58"/>
      <c r="F17" s="58"/>
      <c r="G17" s="58"/>
      <c r="H17" s="58"/>
      <c r="I17" s="58"/>
      <c r="J17" s="58"/>
      <c r="K17" s="58"/>
      <c r="L17" s="58"/>
      <c r="M17" s="58"/>
      <c r="N17" s="58"/>
      <c r="O17" s="58"/>
      <c r="P17" s="58"/>
    </row>
    <row r="18" spans="1:16" ht="17.100000000000001" customHeight="1" x14ac:dyDescent="0.2">
      <c r="A18" s="63" t="s">
        <v>190</v>
      </c>
      <c r="B18" s="114">
        <v>487.2</v>
      </c>
      <c r="C18" s="114">
        <v>915.3</v>
      </c>
      <c r="D18" s="58">
        <v>1628.56</v>
      </c>
      <c r="E18" s="58">
        <v>2110.31</v>
      </c>
      <c r="F18" s="58">
        <v>2180.11</v>
      </c>
      <c r="G18" s="58"/>
      <c r="H18" s="58"/>
      <c r="I18" s="58"/>
      <c r="J18" s="58"/>
      <c r="K18" s="58"/>
      <c r="L18" s="58"/>
      <c r="M18" s="58"/>
      <c r="N18" s="58"/>
      <c r="O18" s="58"/>
      <c r="P18" s="58"/>
    </row>
    <row r="19" spans="1:16" ht="17.100000000000001" customHeight="1" x14ac:dyDescent="0.2">
      <c r="A19" s="63" t="s">
        <v>106</v>
      </c>
      <c r="B19" s="115">
        <v>353.1</v>
      </c>
      <c r="C19" s="115">
        <v>659.4</v>
      </c>
      <c r="D19" s="113">
        <f>D18/D12*10000</f>
        <v>1260.0077369439073</v>
      </c>
      <c r="E19" s="113">
        <f>E18/E12*10000</f>
        <v>1713.3311683039701</v>
      </c>
      <c r="F19" s="116">
        <v>1528.52</v>
      </c>
      <c r="G19" s="58"/>
      <c r="H19" s="58"/>
      <c r="I19" s="58"/>
      <c r="J19" s="58"/>
      <c r="K19" s="58"/>
      <c r="L19" s="58"/>
      <c r="M19" s="58"/>
      <c r="N19" s="58"/>
      <c r="O19" s="58"/>
      <c r="P19" s="58"/>
    </row>
    <row r="20" spans="1:16" ht="17.100000000000001" customHeight="1" x14ac:dyDescent="0.2">
      <c r="A20" s="63" t="s">
        <v>198</v>
      </c>
      <c r="B20" s="117">
        <v>977.8</v>
      </c>
      <c r="C20" s="117">
        <v>2021.63</v>
      </c>
      <c r="D20" s="117">
        <v>1333</v>
      </c>
      <c r="E20" s="117">
        <v>1268</v>
      </c>
      <c r="F20" s="58">
        <v>1115</v>
      </c>
      <c r="G20" s="58"/>
      <c r="H20" s="58"/>
      <c r="I20" s="58"/>
      <c r="J20" s="58"/>
      <c r="K20" s="58"/>
      <c r="L20" s="58"/>
      <c r="M20" s="58"/>
      <c r="N20" s="58"/>
      <c r="O20" s="58"/>
      <c r="P20" s="58"/>
    </row>
    <row r="21" spans="1:16" ht="17.100000000000001" customHeight="1" x14ac:dyDescent="0.2">
      <c r="A21" s="63" t="s">
        <v>200</v>
      </c>
      <c r="B21" s="58"/>
      <c r="C21" s="58"/>
      <c r="D21" s="58"/>
      <c r="E21" s="58">
        <v>5168</v>
      </c>
      <c r="F21" s="58">
        <v>6347</v>
      </c>
      <c r="G21" s="58"/>
      <c r="H21" s="58"/>
      <c r="I21" s="58"/>
      <c r="J21" s="58"/>
      <c r="K21" s="58"/>
      <c r="L21" s="58"/>
      <c r="M21" s="58"/>
      <c r="N21" s="58"/>
      <c r="O21" s="58"/>
      <c r="P21" s="58"/>
    </row>
    <row r="22" spans="1:16" ht="17.100000000000001" customHeight="1" x14ac:dyDescent="0.2">
      <c r="A22" s="63" t="s">
        <v>197</v>
      </c>
      <c r="B22" s="58"/>
      <c r="C22" s="58"/>
      <c r="D22" s="58">
        <v>4339</v>
      </c>
      <c r="E22" s="58">
        <v>4355.78</v>
      </c>
      <c r="F22" s="58">
        <v>4366.1899999999996</v>
      </c>
      <c r="G22" s="58"/>
      <c r="H22" s="58"/>
      <c r="I22" s="58"/>
      <c r="J22" s="58"/>
      <c r="K22" s="58"/>
      <c r="L22" s="58"/>
      <c r="M22" s="58"/>
      <c r="N22" s="58"/>
      <c r="O22" s="58"/>
      <c r="P22" s="58"/>
    </row>
    <row r="23" spans="1:16" ht="17.100000000000001" customHeight="1" x14ac:dyDescent="0.2">
      <c r="A23" s="63" t="s">
        <v>192</v>
      </c>
      <c r="B23" s="58">
        <v>693.76</v>
      </c>
      <c r="C23" s="58">
        <v>1134.8900000000001</v>
      </c>
      <c r="D23" s="58">
        <v>1126.1300000000001</v>
      </c>
      <c r="E23" s="58">
        <v>1123.21</v>
      </c>
      <c r="F23" s="58">
        <v>1060.3900000000001</v>
      </c>
      <c r="G23" s="58"/>
      <c r="H23" s="58"/>
      <c r="I23" s="58"/>
      <c r="J23" s="58"/>
      <c r="K23" s="58"/>
      <c r="L23" s="58"/>
      <c r="M23" s="58"/>
      <c r="N23" s="58"/>
      <c r="O23" s="58"/>
      <c r="P23" s="58"/>
    </row>
    <row r="24" spans="1:16" ht="17.100000000000001" customHeight="1" x14ac:dyDescent="0.2">
      <c r="A24" s="63" t="s">
        <v>417</v>
      </c>
      <c r="B24" s="58">
        <v>36.630000000000003</v>
      </c>
      <c r="C24" s="58">
        <v>66.319999999999993</v>
      </c>
      <c r="D24" s="58">
        <v>86.92</v>
      </c>
      <c r="E24" s="58">
        <v>90.38</v>
      </c>
      <c r="F24" s="58">
        <v>100.05</v>
      </c>
      <c r="G24" s="58"/>
      <c r="H24" s="58"/>
      <c r="I24" s="58"/>
      <c r="J24" s="58"/>
      <c r="K24" s="58"/>
      <c r="L24" s="58"/>
      <c r="M24" s="58"/>
      <c r="N24" s="58"/>
      <c r="O24" s="58"/>
      <c r="P24" s="58"/>
    </row>
    <row r="25" spans="1:16" ht="17.100000000000001" customHeight="1" x14ac:dyDescent="0.2">
      <c r="A25" s="63" t="s">
        <v>418</v>
      </c>
      <c r="B25" s="117">
        <f t="shared" ref="B25:E25" si="0">B24-B28</f>
        <v>-1.9600000000000009</v>
      </c>
      <c r="C25" s="117">
        <f t="shared" si="0"/>
        <v>5.9999999999988063E-2</v>
      </c>
      <c r="D25" s="117">
        <f t="shared" si="0"/>
        <v>5.3200000000000074</v>
      </c>
      <c r="E25" s="117">
        <f t="shared" si="0"/>
        <v>14.47999999999999</v>
      </c>
      <c r="F25" s="117">
        <f>F24-F31</f>
        <v>22.759999999999977</v>
      </c>
      <c r="G25" s="58"/>
      <c r="H25" s="58"/>
      <c r="I25" s="58"/>
      <c r="J25" s="58"/>
      <c r="K25" s="58"/>
      <c r="L25" s="58"/>
      <c r="M25" s="58"/>
      <c r="N25" s="58"/>
      <c r="O25" s="58"/>
      <c r="P25" s="58"/>
    </row>
    <row r="26" spans="1:16" ht="17.100000000000001" customHeight="1" x14ac:dyDescent="0.2">
      <c r="A26" s="63" t="s">
        <v>423</v>
      </c>
      <c r="B26" s="117"/>
      <c r="C26" s="117">
        <v>3.92</v>
      </c>
      <c r="D26" s="117">
        <v>6.73</v>
      </c>
      <c r="E26" s="117">
        <v>9.98</v>
      </c>
      <c r="F26" s="117">
        <v>9.4</v>
      </c>
      <c r="G26" s="58"/>
      <c r="H26" s="58"/>
      <c r="I26" s="58"/>
      <c r="J26" s="58"/>
      <c r="K26" s="58"/>
      <c r="L26" s="58"/>
      <c r="M26" s="58"/>
      <c r="N26" s="58"/>
      <c r="O26" s="58"/>
      <c r="P26" s="58"/>
    </row>
    <row r="27" spans="1:16" ht="17.100000000000001" customHeight="1" x14ac:dyDescent="0.2">
      <c r="A27" s="63" t="s">
        <v>424</v>
      </c>
      <c r="B27" s="117"/>
      <c r="C27" s="117"/>
      <c r="D27" s="117">
        <v>3.3</v>
      </c>
      <c r="E27" s="117">
        <v>3.65</v>
      </c>
      <c r="F27" s="117">
        <v>3.46</v>
      </c>
      <c r="G27" s="58"/>
      <c r="H27" s="58"/>
      <c r="I27" s="58"/>
      <c r="J27" s="58"/>
      <c r="K27" s="58"/>
      <c r="L27" s="58"/>
      <c r="M27" s="58"/>
      <c r="N27" s="58"/>
      <c r="O27" s="58"/>
      <c r="P27" s="58"/>
    </row>
    <row r="28" spans="1:16" ht="17.100000000000001" customHeight="1" x14ac:dyDescent="0.2">
      <c r="A28" s="63" t="s">
        <v>44</v>
      </c>
      <c r="B28" s="117">
        <v>38.590000000000003</v>
      </c>
      <c r="C28" s="117">
        <v>66.260000000000005</v>
      </c>
      <c r="D28" s="117">
        <v>81.599999999999994</v>
      </c>
      <c r="E28" s="117">
        <v>75.900000000000006</v>
      </c>
      <c r="F28" s="58">
        <v>70.849999999999994</v>
      </c>
      <c r="G28" s="58"/>
      <c r="H28" s="58"/>
      <c r="I28" s="58"/>
      <c r="J28" s="58"/>
      <c r="K28" s="58"/>
      <c r="L28" s="58"/>
      <c r="M28" s="58"/>
      <c r="N28" s="58"/>
      <c r="O28" s="58"/>
      <c r="P28" s="58"/>
    </row>
    <row r="29" spans="1:16" ht="17.100000000000001" customHeight="1" x14ac:dyDescent="0.2">
      <c r="A29" s="63" t="s">
        <v>216</v>
      </c>
      <c r="B29" s="58">
        <v>69.12</v>
      </c>
      <c r="C29" s="58">
        <v>131.99</v>
      </c>
      <c r="D29" s="58">
        <v>173.57</v>
      </c>
      <c r="E29" s="58">
        <v>217.89</v>
      </c>
      <c r="F29" s="58">
        <v>211.45</v>
      </c>
      <c r="G29" s="58"/>
      <c r="H29" s="58"/>
      <c r="I29" s="58"/>
      <c r="J29" s="58"/>
      <c r="K29" s="58"/>
      <c r="L29" s="58"/>
      <c r="M29" s="58"/>
      <c r="N29" s="58"/>
      <c r="O29" s="58"/>
      <c r="P29" s="58"/>
    </row>
    <row r="30" spans="1:16" ht="17.100000000000001" customHeight="1" x14ac:dyDescent="0.2">
      <c r="A30" s="63" t="s">
        <v>412</v>
      </c>
      <c r="B30" s="58"/>
      <c r="C30" s="117">
        <f>B29+C28</f>
        <v>135.38</v>
      </c>
      <c r="D30" s="117">
        <f>C29+D28</f>
        <v>213.59</v>
      </c>
      <c r="E30" s="117">
        <f>D29+E28</f>
        <v>249.47</v>
      </c>
      <c r="F30" s="117">
        <f>E29+F28</f>
        <v>288.74</v>
      </c>
      <c r="G30" s="58"/>
      <c r="H30" s="58"/>
      <c r="I30" s="58"/>
      <c r="J30" s="58"/>
      <c r="K30" s="58"/>
      <c r="L30" s="58"/>
      <c r="M30" s="58"/>
      <c r="N30" s="58"/>
      <c r="O30" s="58"/>
      <c r="P30" s="58"/>
    </row>
    <row r="31" spans="1:16" ht="17.100000000000001" customHeight="1" x14ac:dyDescent="0.2">
      <c r="A31" s="63" t="s">
        <v>419</v>
      </c>
      <c r="B31" s="58"/>
      <c r="C31" s="117">
        <f>C30-C29</f>
        <v>3.3899999999999864</v>
      </c>
      <c r="D31" s="117">
        <f>D30-D29</f>
        <v>40.02000000000001</v>
      </c>
      <c r="E31" s="117">
        <f>E30-E29</f>
        <v>31.580000000000013</v>
      </c>
      <c r="F31" s="117">
        <f>F30-F29</f>
        <v>77.29000000000002</v>
      </c>
      <c r="G31" s="58"/>
      <c r="H31" s="58"/>
      <c r="I31" s="58"/>
      <c r="J31" s="58"/>
      <c r="K31" s="58"/>
      <c r="L31" s="58"/>
      <c r="M31" s="58"/>
      <c r="N31" s="58"/>
      <c r="O31" s="58"/>
      <c r="P31" s="58"/>
    </row>
    <row r="32" spans="1:16" ht="17.100000000000001" customHeight="1" x14ac:dyDescent="0.2">
      <c r="A32" s="63"/>
      <c r="B32" s="58"/>
      <c r="C32" s="58"/>
      <c r="D32" s="58"/>
      <c r="E32" s="58"/>
      <c r="F32" s="58"/>
      <c r="G32" s="58"/>
      <c r="H32" s="58"/>
      <c r="I32" s="58"/>
      <c r="J32" s="58"/>
      <c r="K32" s="58"/>
      <c r="L32" s="58"/>
      <c r="M32" s="58"/>
      <c r="N32" s="58"/>
      <c r="O32" s="58"/>
      <c r="P32" s="58"/>
    </row>
    <row r="33" spans="1:16" ht="17.100000000000001" customHeight="1" x14ac:dyDescent="0.2">
      <c r="A33" s="63"/>
      <c r="B33" s="58"/>
      <c r="C33" s="58"/>
      <c r="D33" s="58"/>
      <c r="E33" s="58"/>
      <c r="F33" s="58"/>
      <c r="G33" s="58"/>
      <c r="H33" s="58"/>
      <c r="I33" s="58"/>
      <c r="J33" s="58"/>
      <c r="K33" s="58"/>
      <c r="L33" s="58"/>
      <c r="M33" s="58"/>
      <c r="N33" s="58"/>
      <c r="O33" s="58"/>
      <c r="P33" s="58"/>
    </row>
    <row r="34" spans="1:16" ht="17.100000000000001" customHeight="1" x14ac:dyDescent="0.2">
      <c r="A34" s="63"/>
      <c r="B34" s="58"/>
      <c r="C34" s="58"/>
      <c r="D34" s="58"/>
      <c r="E34" s="58"/>
      <c r="F34" s="58"/>
      <c r="G34" s="58"/>
      <c r="H34" s="58"/>
      <c r="I34" s="58"/>
      <c r="J34" s="58"/>
      <c r="K34" s="58"/>
      <c r="L34" s="58"/>
      <c r="M34" s="58"/>
      <c r="N34" s="58"/>
      <c r="O34" s="58"/>
      <c r="P34" s="58"/>
    </row>
    <row r="35" spans="1:16" ht="16.5" x14ac:dyDescent="0.2">
      <c r="A35" s="63"/>
      <c r="B35" s="58"/>
      <c r="C35" s="58"/>
      <c r="D35" s="58"/>
      <c r="E35" s="58"/>
      <c r="F35" s="58"/>
      <c r="G35" s="58"/>
      <c r="H35" s="58"/>
      <c r="I35" s="58"/>
      <c r="J35" s="58"/>
      <c r="K35" s="58"/>
      <c r="L35" s="58"/>
      <c r="M35" s="58"/>
      <c r="N35" s="58"/>
      <c r="O35" s="58"/>
      <c r="P35" s="58"/>
    </row>
    <row r="36" spans="1:16" ht="16.5" x14ac:dyDescent="0.2">
      <c r="A36" s="63"/>
      <c r="B36" s="58"/>
      <c r="C36" s="58"/>
      <c r="D36" s="58"/>
      <c r="E36" s="58"/>
      <c r="F36" s="58"/>
      <c r="G36" s="58"/>
      <c r="H36" s="58"/>
      <c r="I36" s="58"/>
      <c r="J36" s="58"/>
      <c r="K36" s="58"/>
      <c r="L36" s="58"/>
      <c r="M36" s="58"/>
      <c r="N36" s="58"/>
      <c r="O36" s="58"/>
      <c r="P36" s="58"/>
    </row>
    <row r="37" spans="1:16" ht="16.5" x14ac:dyDescent="0.2">
      <c r="A37" s="63"/>
      <c r="B37" s="58"/>
      <c r="C37" s="58"/>
      <c r="D37" s="58"/>
      <c r="E37" s="58"/>
      <c r="F37" s="58"/>
      <c r="G37" s="58"/>
      <c r="H37" s="58"/>
      <c r="I37" s="58"/>
      <c r="J37" s="58"/>
      <c r="K37" s="58"/>
      <c r="L37" s="58"/>
      <c r="M37" s="58"/>
      <c r="N37" s="58"/>
      <c r="O37" s="58"/>
      <c r="P37" s="58"/>
    </row>
    <row r="38" spans="1:16" ht="16.5" x14ac:dyDescent="0.2">
      <c r="A38" s="63"/>
      <c r="B38" s="58"/>
      <c r="C38" s="58"/>
      <c r="D38" s="58"/>
      <c r="E38" s="58"/>
      <c r="F38" s="58"/>
      <c r="G38" s="58"/>
      <c r="H38" s="58"/>
      <c r="I38" s="58"/>
      <c r="J38" s="58"/>
      <c r="K38" s="58"/>
      <c r="L38" s="58"/>
      <c r="M38" s="58"/>
      <c r="N38" s="58"/>
      <c r="O38" s="58"/>
      <c r="P38" s="58"/>
    </row>
    <row r="39" spans="1:16" ht="15" x14ac:dyDescent="0.2">
      <c r="B39" s="58"/>
      <c r="C39" s="58"/>
      <c r="D39" s="58"/>
      <c r="E39" s="58"/>
      <c r="F39" s="58"/>
      <c r="G39" s="58"/>
      <c r="H39" s="58"/>
      <c r="I39" s="58"/>
      <c r="J39" s="58"/>
      <c r="K39" s="58"/>
      <c r="L39" s="58"/>
      <c r="M39" s="58"/>
      <c r="N39" s="58"/>
      <c r="O39" s="58"/>
      <c r="P39" s="58"/>
    </row>
    <row r="40" spans="1:16" ht="15" x14ac:dyDescent="0.2">
      <c r="B40" s="58"/>
      <c r="C40" s="58"/>
      <c r="D40" s="58"/>
      <c r="E40" s="58"/>
      <c r="F40" s="58"/>
      <c r="G40" s="58"/>
      <c r="H40" s="58"/>
      <c r="I40" s="58"/>
      <c r="J40" s="58"/>
      <c r="K40" s="58"/>
      <c r="L40" s="58"/>
      <c r="M40" s="58"/>
      <c r="N40" s="58"/>
      <c r="O40" s="58"/>
      <c r="P40" s="58"/>
    </row>
    <row r="41" spans="1:16" ht="15" x14ac:dyDescent="0.2">
      <c r="B41" s="58"/>
      <c r="C41" s="58"/>
      <c r="D41" s="58"/>
      <c r="E41" s="58"/>
      <c r="F41" s="58"/>
      <c r="G41" s="58"/>
      <c r="H41" s="58"/>
      <c r="I41" s="58"/>
      <c r="J41" s="58"/>
      <c r="K41" s="58"/>
      <c r="L41" s="58"/>
      <c r="M41" s="58"/>
      <c r="N41" s="58"/>
      <c r="O41" s="58"/>
      <c r="P41" s="58"/>
    </row>
    <row r="42" spans="1:16" ht="15" x14ac:dyDescent="0.2">
      <c r="B42" s="58"/>
      <c r="C42" s="58"/>
      <c r="D42" s="58"/>
      <c r="E42" s="58"/>
      <c r="F42" s="58"/>
      <c r="G42" s="58"/>
      <c r="H42" s="58"/>
      <c r="I42" s="58"/>
      <c r="J42" s="58"/>
      <c r="K42" s="58"/>
      <c r="L42" s="58"/>
      <c r="M42" s="58"/>
      <c r="N42" s="58"/>
      <c r="O42" s="58"/>
      <c r="P42" s="58"/>
    </row>
    <row r="43" spans="1:16" ht="15" x14ac:dyDescent="0.2">
      <c r="B43" s="58"/>
      <c r="C43" s="58"/>
      <c r="D43" s="58"/>
      <c r="E43" s="58"/>
      <c r="F43" s="58"/>
      <c r="G43" s="58"/>
      <c r="H43" s="58"/>
      <c r="I43" s="58"/>
      <c r="J43" s="58"/>
      <c r="K43" s="58"/>
      <c r="L43" s="58"/>
      <c r="M43" s="58"/>
      <c r="N43" s="58"/>
      <c r="O43" s="58"/>
      <c r="P43" s="58"/>
    </row>
    <row r="44" spans="1:16" ht="15" x14ac:dyDescent="0.2">
      <c r="B44" s="58"/>
      <c r="C44" s="58"/>
      <c r="D44" s="58"/>
      <c r="E44" s="58"/>
      <c r="F44" s="58"/>
      <c r="G44" s="58"/>
      <c r="H44" s="58"/>
      <c r="I44" s="58"/>
      <c r="J44" s="58"/>
      <c r="K44" s="58"/>
      <c r="L44" s="58"/>
      <c r="M44" s="58"/>
      <c r="N44" s="58"/>
      <c r="O44" s="58"/>
      <c r="P44" s="58"/>
    </row>
  </sheetData>
  <phoneticPr fontId="1" type="noConversion"/>
  <conditionalFormatting sqref="H19:XFD19">
    <cfRule type="colorScale" priority="1">
      <colorScale>
        <cfvo type="min"/>
        <cfvo type="max"/>
        <color rgb="FFFFEF9C"/>
        <color rgb="FF63BE7B"/>
      </colorScale>
    </cfRule>
  </conditionalFormatting>
  <conditionalFormatting sqref="H20:XFD20">
    <cfRule type="colorScale" priority="1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0" orientation="portrait" horizontalDpi="0" verticalDpi="0" copie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3B86A-9821-458F-884B-020AB1872A0B}">
  <dimension ref="A1:H36"/>
  <sheetViews>
    <sheetView workbookViewId="0">
      <pane ySplit="1" topLeftCell="A18" activePane="bottomLeft" state="frozen"/>
      <selection pane="bottomLeft" activeCell="K35" sqref="K35"/>
    </sheetView>
  </sheetViews>
  <sheetFormatPr defaultRowHeight="14.25" x14ac:dyDescent="0.2"/>
  <cols>
    <col min="1" max="1" width="25.875" style="48" customWidth="1"/>
    <col min="2" max="3" width="11" style="43" customWidth="1"/>
    <col min="4" max="4" width="9.875" style="43" customWidth="1"/>
    <col min="5" max="5" width="10.625" style="43" customWidth="1"/>
    <col min="6" max="6" width="10.25" style="43" customWidth="1"/>
    <col min="7" max="16384" width="9" style="43"/>
  </cols>
  <sheetData>
    <row r="1" spans="1:8" s="51" customFormat="1" ht="26.25" customHeight="1" x14ac:dyDescent="0.2">
      <c r="A1" s="51" t="s">
        <v>385</v>
      </c>
      <c r="B1" s="52" t="s">
        <v>187</v>
      </c>
      <c r="C1" s="52" t="s">
        <v>4</v>
      </c>
      <c r="D1" s="52" t="s">
        <v>77</v>
      </c>
      <c r="E1" s="52" t="s">
        <v>78</v>
      </c>
      <c r="F1" s="52" t="s">
        <v>79</v>
      </c>
    </row>
    <row r="2" spans="1:8" x14ac:dyDescent="0.2">
      <c r="A2" s="48" t="s">
        <v>138</v>
      </c>
      <c r="B2" s="43">
        <v>374.3</v>
      </c>
      <c r="C2" s="43">
        <v>407.64</v>
      </c>
      <c r="D2" s="43">
        <v>464.5</v>
      </c>
      <c r="E2" s="43">
        <v>540.94000000000005</v>
      </c>
      <c r="F2" s="43">
        <v>574.78</v>
      </c>
    </row>
    <row r="3" spans="1:8" x14ac:dyDescent="0.2">
      <c r="A3" s="48" t="s">
        <v>386</v>
      </c>
      <c r="B3" s="44">
        <v>4.5199999999999997E-2</v>
      </c>
      <c r="C3" s="44">
        <v>4.5600000000000002E-2</v>
      </c>
      <c r="D3" s="44">
        <v>4.8300000000000003E-2</v>
      </c>
      <c r="E3" s="44">
        <v>4.99E-2</v>
      </c>
      <c r="F3" s="44">
        <v>4.7399999999999998E-2</v>
      </c>
    </row>
    <row r="4" spans="1:8" x14ac:dyDescent="0.2">
      <c r="A4" s="48" t="s">
        <v>43</v>
      </c>
      <c r="B4" s="45">
        <v>21.09</v>
      </c>
      <c r="C4" s="45">
        <v>22.71</v>
      </c>
      <c r="D4" s="45">
        <v>36.51</v>
      </c>
      <c r="E4" s="45">
        <v>48.7</v>
      </c>
      <c r="F4" s="43">
        <v>57.48</v>
      </c>
    </row>
    <row r="5" spans="1:8" x14ac:dyDescent="0.2">
      <c r="A5" s="48" t="s">
        <v>65</v>
      </c>
      <c r="B5" s="45">
        <v>11.77</v>
      </c>
      <c r="C5" s="45">
        <v>12.43</v>
      </c>
      <c r="D5" s="45">
        <v>14.17</v>
      </c>
      <c r="E5" s="45">
        <v>21.1</v>
      </c>
      <c r="F5" s="43">
        <v>21.36</v>
      </c>
    </row>
    <row r="6" spans="1:8" x14ac:dyDescent="0.2">
      <c r="A6" s="48" t="s">
        <v>66</v>
      </c>
      <c r="B6" s="45">
        <v>15.91</v>
      </c>
      <c r="C6" s="45">
        <v>26.25</v>
      </c>
      <c r="D6" s="45">
        <v>32.67</v>
      </c>
      <c r="E6" s="45">
        <v>39.58</v>
      </c>
      <c r="F6" s="43">
        <v>42.71</v>
      </c>
    </row>
    <row r="7" spans="1:8" x14ac:dyDescent="0.2">
      <c r="B7" s="45"/>
      <c r="C7" s="45"/>
      <c r="D7" s="45"/>
      <c r="E7" s="45"/>
    </row>
    <row r="8" spans="1:8" x14ac:dyDescent="0.2">
      <c r="A8" s="48" t="s">
        <v>280</v>
      </c>
      <c r="B8" s="44">
        <v>0.57899999999999996</v>
      </c>
      <c r="C8" s="44">
        <v>0.61360000000000003</v>
      </c>
      <c r="D8" s="44">
        <v>0.68130000000000002</v>
      </c>
      <c r="E8" s="44">
        <v>0.67159999999999997</v>
      </c>
      <c r="F8" s="44">
        <v>0.68510000000000004</v>
      </c>
    </row>
    <row r="9" spans="1:8" x14ac:dyDescent="0.2">
      <c r="A9" s="48" t="s">
        <v>18</v>
      </c>
      <c r="B9" s="44">
        <v>0.28399999999999997</v>
      </c>
      <c r="C9" s="44">
        <v>0.48220000000000002</v>
      </c>
      <c r="D9" s="44">
        <v>0.5736</v>
      </c>
      <c r="E9" s="44">
        <v>0.60240000000000005</v>
      </c>
      <c r="F9" s="44">
        <v>0.62529999999999997</v>
      </c>
    </row>
    <row r="11" spans="1:8" x14ac:dyDescent="0.2">
      <c r="A11" s="48" t="s">
        <v>212</v>
      </c>
      <c r="B11" s="43">
        <v>33</v>
      </c>
      <c r="C11" s="43">
        <v>94</v>
      </c>
      <c r="D11" s="43">
        <v>91</v>
      </c>
      <c r="E11" s="43">
        <v>113</v>
      </c>
      <c r="F11" s="43">
        <v>116</v>
      </c>
    </row>
    <row r="12" spans="1:8" x14ac:dyDescent="0.2">
      <c r="A12" s="48" t="s">
        <v>398</v>
      </c>
      <c r="B12" s="43">
        <v>168</v>
      </c>
      <c r="C12" s="43">
        <v>473</v>
      </c>
      <c r="D12" s="43">
        <v>404</v>
      </c>
      <c r="E12" s="43">
        <v>558</v>
      </c>
      <c r="F12" s="43">
        <v>697</v>
      </c>
    </row>
    <row r="13" spans="1:8" x14ac:dyDescent="0.2">
      <c r="A13" s="48" t="s">
        <v>397</v>
      </c>
      <c r="B13" s="43">
        <v>237</v>
      </c>
      <c r="C13" s="43">
        <v>595</v>
      </c>
      <c r="D13" s="43">
        <v>481</v>
      </c>
      <c r="E13" s="43">
        <v>886</v>
      </c>
      <c r="F13" s="43">
        <v>813</v>
      </c>
    </row>
    <row r="15" spans="1:8" x14ac:dyDescent="0.2">
      <c r="A15" s="48" t="s">
        <v>389</v>
      </c>
      <c r="B15" s="43">
        <v>2950</v>
      </c>
      <c r="C15" s="43">
        <v>3770</v>
      </c>
      <c r="D15" s="43">
        <v>4400</v>
      </c>
      <c r="E15" s="43">
        <v>5233</v>
      </c>
      <c r="F15" s="43">
        <v>6036</v>
      </c>
    </row>
    <row r="16" spans="1:8" x14ac:dyDescent="0.2">
      <c r="A16" s="48" t="s">
        <v>388</v>
      </c>
      <c r="B16" s="43">
        <v>1500</v>
      </c>
      <c r="C16" s="43">
        <v>1930</v>
      </c>
      <c r="D16" s="43">
        <v>2300</v>
      </c>
      <c r="E16" s="43">
        <v>2802</v>
      </c>
      <c r="F16" s="43">
        <v>3203</v>
      </c>
      <c r="H16" s="50"/>
    </row>
    <row r="18" spans="1:6" x14ac:dyDescent="0.2">
      <c r="A18" s="48" t="s">
        <v>390</v>
      </c>
      <c r="B18" s="44">
        <v>0.2873</v>
      </c>
      <c r="C18" s="44">
        <v>0.33960000000000001</v>
      </c>
      <c r="D18" s="44">
        <v>0.43080000000000002</v>
      </c>
      <c r="E18" s="44">
        <v>0.41260000000000002</v>
      </c>
      <c r="F18" s="44">
        <v>0.33600000000000002</v>
      </c>
    </row>
    <row r="19" spans="1:6" x14ac:dyDescent="0.2">
      <c r="A19" s="48" t="s">
        <v>395</v>
      </c>
      <c r="B19" s="46">
        <v>670</v>
      </c>
      <c r="C19" s="46">
        <v>870</v>
      </c>
      <c r="D19" s="46">
        <v>1555</v>
      </c>
      <c r="E19" s="46">
        <v>1631</v>
      </c>
      <c r="F19" s="43">
        <v>1582</v>
      </c>
    </row>
    <row r="20" spans="1:6" x14ac:dyDescent="0.2">
      <c r="A20" s="48" t="s">
        <v>396</v>
      </c>
      <c r="B20" s="46">
        <v>640</v>
      </c>
      <c r="C20" s="46">
        <v>670</v>
      </c>
      <c r="D20" s="46">
        <v>672</v>
      </c>
      <c r="E20" s="46">
        <v>925</v>
      </c>
      <c r="F20" s="43">
        <v>1103</v>
      </c>
    </row>
    <row r="22" spans="1:6" x14ac:dyDescent="0.2">
      <c r="A22" s="48" t="s">
        <v>359</v>
      </c>
    </row>
    <row r="23" spans="1:6" x14ac:dyDescent="0.2">
      <c r="A23" s="48" t="s">
        <v>360</v>
      </c>
      <c r="C23" s="49" t="s">
        <v>391</v>
      </c>
      <c r="D23" s="49" t="s">
        <v>391</v>
      </c>
      <c r="E23" s="49" t="s">
        <v>391</v>
      </c>
      <c r="F23" s="49" t="s">
        <v>391</v>
      </c>
    </row>
    <row r="24" spans="1:6" x14ac:dyDescent="0.2">
      <c r="A24" s="48" t="s">
        <v>178</v>
      </c>
      <c r="C24" s="49" t="s">
        <v>392</v>
      </c>
      <c r="D24" s="49" t="s">
        <v>392</v>
      </c>
      <c r="E24" s="49" t="s">
        <v>392</v>
      </c>
      <c r="F24" s="49" t="s">
        <v>392</v>
      </c>
    </row>
    <row r="26" spans="1:6" x14ac:dyDescent="0.2">
      <c r="A26" s="48" t="s">
        <v>364</v>
      </c>
      <c r="B26" s="43">
        <v>1006.3</v>
      </c>
      <c r="C26" s="43">
        <v>1408.1</v>
      </c>
      <c r="D26" s="43">
        <v>1623.3</v>
      </c>
      <c r="E26" s="43">
        <v>2106</v>
      </c>
      <c r="F26" s="43">
        <v>2426.8000000000002</v>
      </c>
    </row>
    <row r="27" spans="1:6" x14ac:dyDescent="0.2">
      <c r="A27" s="48" t="s">
        <v>366</v>
      </c>
      <c r="B27" s="43">
        <v>658.2</v>
      </c>
      <c r="C27" s="43">
        <v>766.7</v>
      </c>
      <c r="D27" s="43">
        <v>877.8</v>
      </c>
      <c r="E27" s="43">
        <v>1079</v>
      </c>
      <c r="F27" s="43">
        <v>1194.8</v>
      </c>
    </row>
    <row r="28" spans="1:6" x14ac:dyDescent="0.2">
      <c r="A28" s="48" t="s">
        <v>421</v>
      </c>
      <c r="B28" s="47">
        <f>B26/B27*10000</f>
        <v>15288.666058948646</v>
      </c>
      <c r="C28" s="47">
        <f t="shared" ref="C28:F28" si="0">C26/C27*10000</f>
        <v>18365.723229424806</v>
      </c>
      <c r="D28" s="47">
        <f t="shared" si="0"/>
        <v>18492.822966507178</v>
      </c>
      <c r="E28" s="47">
        <f t="shared" si="0"/>
        <v>19518.072289156626</v>
      </c>
      <c r="F28" s="47">
        <f t="shared" si="0"/>
        <v>20311.349179779045</v>
      </c>
    </row>
    <row r="29" spans="1:6" x14ac:dyDescent="0.2">
      <c r="A29" s="48" t="s">
        <v>387</v>
      </c>
      <c r="B29" s="43">
        <v>399</v>
      </c>
      <c r="C29" s="43">
        <v>1004</v>
      </c>
      <c r="D29" s="43">
        <v>1000</v>
      </c>
      <c r="E29" s="43">
        <v>1200</v>
      </c>
      <c r="F29" s="43">
        <v>1350</v>
      </c>
    </row>
    <row r="30" spans="1:6" x14ac:dyDescent="0.2">
      <c r="A30" s="48" t="s">
        <v>304</v>
      </c>
      <c r="B30" s="43">
        <v>533</v>
      </c>
      <c r="C30" s="43">
        <v>1305</v>
      </c>
      <c r="D30" s="43">
        <v>1072</v>
      </c>
      <c r="E30" s="43">
        <v>1688</v>
      </c>
      <c r="F30" s="43">
        <v>1657</v>
      </c>
    </row>
    <row r="31" spans="1:6" x14ac:dyDescent="0.2">
      <c r="A31" s="48" t="s">
        <v>422</v>
      </c>
      <c r="B31" s="47">
        <f>B29/B30*10000</f>
        <v>7485.9287054409006</v>
      </c>
      <c r="C31" s="47">
        <f t="shared" ref="C31:F31" si="1">C29/C30*10000</f>
        <v>7693.4865900383138</v>
      </c>
      <c r="D31" s="47">
        <f t="shared" si="1"/>
        <v>9328.3582089552237</v>
      </c>
      <c r="E31" s="47">
        <f t="shared" si="1"/>
        <v>7109.004739336493</v>
      </c>
      <c r="F31" s="47">
        <f t="shared" si="1"/>
        <v>8147.2540736270375</v>
      </c>
    </row>
    <row r="32" spans="1:6" x14ac:dyDescent="0.2">
      <c r="A32" s="48" t="s">
        <v>393</v>
      </c>
      <c r="B32" s="43">
        <v>366.46</v>
      </c>
      <c r="C32" s="43">
        <v>553.54</v>
      </c>
      <c r="D32" s="43">
        <v>821.4</v>
      </c>
      <c r="E32" s="43">
        <v>947.58</v>
      </c>
      <c r="F32" s="43">
        <v>1130.01</v>
      </c>
    </row>
    <row r="33" spans="1:6" x14ac:dyDescent="0.2">
      <c r="A33" s="48" t="s">
        <v>394</v>
      </c>
      <c r="B33" s="45">
        <v>13.82</v>
      </c>
      <c r="C33" s="45">
        <v>10.9</v>
      </c>
      <c r="D33" s="45">
        <v>19.54</v>
      </c>
      <c r="E33" s="45">
        <v>20.49</v>
      </c>
      <c r="F33" s="43">
        <v>27.77</v>
      </c>
    </row>
    <row r="34" spans="1:6" x14ac:dyDescent="0.2">
      <c r="A34" s="48" t="s">
        <v>420</v>
      </c>
      <c r="B34" s="45">
        <v>7.27</v>
      </c>
      <c r="C34" s="45">
        <v>11.82</v>
      </c>
      <c r="D34" s="45">
        <v>16.98</v>
      </c>
      <c r="E34" s="45">
        <v>28.22</v>
      </c>
      <c r="F34" s="43">
        <v>29.72</v>
      </c>
    </row>
    <row r="35" spans="1:6" x14ac:dyDescent="0.2">
      <c r="A35" s="48" t="s">
        <v>414</v>
      </c>
      <c r="B35" s="43">
        <v>21.09</v>
      </c>
      <c r="C35" s="43">
        <v>22.72</v>
      </c>
      <c r="D35" s="43">
        <v>36.51</v>
      </c>
      <c r="E35" s="43">
        <v>48.7</v>
      </c>
      <c r="F35" s="43">
        <v>57.49</v>
      </c>
    </row>
    <row r="36" spans="1:6" x14ac:dyDescent="0.2">
      <c r="A36" s="48" t="s">
        <v>425</v>
      </c>
      <c r="C36" s="43">
        <v>11.81</v>
      </c>
      <c r="D36" s="43">
        <v>16.97</v>
      </c>
      <c r="E36" s="43">
        <v>28.22</v>
      </c>
      <c r="F36" s="43">
        <v>29.72</v>
      </c>
    </row>
  </sheetData>
  <phoneticPr fontId="1" type="noConversion"/>
  <pageMargins left="0.7" right="0.7" top="0.75" bottom="0.75" header="0.3" footer="0.3"/>
  <pageSetup paperSize="0" orientation="portrait" horizontalDpi="0" verticalDpi="0" copie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132A0-16EE-4D02-B62B-0CBC6A74C1DC}">
  <dimension ref="A1:K30"/>
  <sheetViews>
    <sheetView workbookViewId="0">
      <selection activeCell="H13" sqref="H13"/>
    </sheetView>
  </sheetViews>
  <sheetFormatPr defaultRowHeight="16.5" x14ac:dyDescent="0.2"/>
  <cols>
    <col min="1" max="1" width="32.75" style="145" customWidth="1"/>
    <col min="2" max="2" width="11" style="122" customWidth="1"/>
    <col min="3" max="3" width="10.75" style="122" customWidth="1"/>
    <col min="4" max="4" width="11.5" style="122" customWidth="1"/>
    <col min="5" max="5" width="10.875" style="122" customWidth="1"/>
    <col min="6" max="16384" width="9" style="122"/>
  </cols>
  <sheetData>
    <row r="1" spans="1:11" s="90" customFormat="1" ht="21" customHeight="1" x14ac:dyDescent="0.2">
      <c r="A1" s="91" t="s">
        <v>205</v>
      </c>
      <c r="B1" s="90" t="s">
        <v>4</v>
      </c>
      <c r="C1" s="90" t="s">
        <v>3</v>
      </c>
      <c r="D1" s="90" t="s">
        <v>2</v>
      </c>
      <c r="E1" s="90" t="s">
        <v>1</v>
      </c>
    </row>
    <row r="2" spans="1:11" x14ac:dyDescent="0.2">
      <c r="A2" s="145" t="s">
        <v>206</v>
      </c>
      <c r="B2" s="138">
        <v>520.54</v>
      </c>
      <c r="C2" s="138">
        <v>591.34</v>
      </c>
      <c r="D2" s="138">
        <v>686.37</v>
      </c>
      <c r="E2" s="138">
        <v>783.97</v>
      </c>
      <c r="F2" s="138"/>
      <c r="G2" s="138"/>
      <c r="H2" s="138"/>
      <c r="I2" s="138"/>
      <c r="J2" s="138"/>
      <c r="K2" s="138"/>
    </row>
    <row r="3" spans="1:11" x14ac:dyDescent="0.2">
      <c r="A3" s="145" t="s">
        <v>207</v>
      </c>
      <c r="B3" s="140">
        <v>0.42320000000000002</v>
      </c>
      <c r="C3" s="140">
        <v>0.46339999999999998</v>
      </c>
      <c r="D3" s="140">
        <f>E3-1.39%</f>
        <v>0.40629999999999999</v>
      </c>
      <c r="E3" s="140">
        <v>0.42020000000000002</v>
      </c>
      <c r="F3" s="138"/>
      <c r="G3" s="138"/>
      <c r="H3" s="138"/>
      <c r="I3" s="138"/>
      <c r="J3" s="138"/>
      <c r="K3" s="138"/>
    </row>
    <row r="4" spans="1:11" x14ac:dyDescent="0.2">
      <c r="A4" s="145" t="s">
        <v>208</v>
      </c>
      <c r="B4" s="140">
        <v>0.5524</v>
      </c>
      <c r="C4" s="140">
        <v>0.68789999999999996</v>
      </c>
      <c r="D4" s="140">
        <v>0.746</v>
      </c>
      <c r="E4" s="140">
        <v>0.59319999999999995</v>
      </c>
      <c r="F4" s="138"/>
      <c r="G4" s="138"/>
      <c r="H4" s="138"/>
      <c r="I4" s="138"/>
      <c r="J4" s="138"/>
      <c r="K4" s="138"/>
    </row>
    <row r="5" spans="1:11" x14ac:dyDescent="0.2">
      <c r="A5" s="145" t="s">
        <v>170</v>
      </c>
      <c r="B5" s="138">
        <v>155</v>
      </c>
      <c r="C5" s="138">
        <v>217</v>
      </c>
      <c r="D5" s="138">
        <v>351.2</v>
      </c>
      <c r="E5" s="141">
        <f>E24*19.14%</f>
        <v>270.75061199999999</v>
      </c>
      <c r="F5" s="138"/>
      <c r="G5" s="138"/>
      <c r="H5" s="138"/>
      <c r="I5" s="138"/>
      <c r="J5" s="138"/>
      <c r="K5" s="138"/>
    </row>
    <row r="6" spans="1:11" x14ac:dyDescent="0.2">
      <c r="A6" s="145" t="s">
        <v>209</v>
      </c>
      <c r="B6" s="138">
        <v>3500</v>
      </c>
      <c r="C6" s="138">
        <v>4696</v>
      </c>
      <c r="D6" s="147">
        <v>5209</v>
      </c>
      <c r="E6" s="138">
        <v>4282.5</v>
      </c>
      <c r="F6" s="138"/>
      <c r="G6" s="138"/>
      <c r="H6" s="138"/>
      <c r="I6" s="138"/>
      <c r="J6" s="138"/>
      <c r="K6" s="138"/>
    </row>
    <row r="7" spans="1:11" x14ac:dyDescent="0.2">
      <c r="A7" s="145" t="s">
        <v>194</v>
      </c>
      <c r="B7" s="140"/>
      <c r="C7" s="140"/>
      <c r="D7" s="140">
        <v>4.5600000000000002E-2</v>
      </c>
      <c r="E7" s="140">
        <v>4.48E-2</v>
      </c>
      <c r="F7" s="138"/>
      <c r="G7" s="138"/>
      <c r="H7" s="138"/>
      <c r="I7" s="138"/>
      <c r="J7" s="138"/>
      <c r="K7" s="138"/>
    </row>
    <row r="8" spans="1:11" x14ac:dyDescent="0.2">
      <c r="B8" s="138"/>
      <c r="C8" s="138"/>
      <c r="D8" s="138"/>
      <c r="E8" s="138"/>
      <c r="F8" s="138"/>
      <c r="G8" s="138"/>
      <c r="H8" s="138"/>
      <c r="I8" s="138"/>
      <c r="J8" s="138"/>
      <c r="K8" s="138"/>
    </row>
    <row r="9" spans="1:11" x14ac:dyDescent="0.2">
      <c r="A9" s="145" t="s">
        <v>211</v>
      </c>
      <c r="B9" s="138"/>
      <c r="C9" s="138"/>
      <c r="D9" s="138"/>
      <c r="E9" s="138"/>
      <c r="F9" s="138"/>
      <c r="G9" s="138"/>
      <c r="H9" s="138"/>
      <c r="I9" s="138"/>
      <c r="J9" s="138"/>
      <c r="K9" s="138"/>
    </row>
    <row r="10" spans="1:11" x14ac:dyDescent="0.2">
      <c r="A10" s="145" t="s">
        <v>210</v>
      </c>
      <c r="B10" s="138"/>
      <c r="C10" s="138"/>
      <c r="D10" s="148">
        <f>1032/1.24</f>
        <v>832.25806451612902</v>
      </c>
      <c r="E10" s="138">
        <v>1032</v>
      </c>
      <c r="F10" s="138"/>
      <c r="G10" s="138"/>
      <c r="H10" s="138"/>
      <c r="I10" s="138"/>
      <c r="J10" s="138"/>
      <c r="K10" s="138"/>
    </row>
    <row r="11" spans="1:11" x14ac:dyDescent="0.2">
      <c r="A11" s="145" t="s">
        <v>215</v>
      </c>
      <c r="B11" s="138"/>
      <c r="C11" s="138"/>
      <c r="D11" s="148">
        <v>252</v>
      </c>
      <c r="E11" s="138">
        <v>465</v>
      </c>
      <c r="F11" s="138"/>
      <c r="G11" s="138"/>
      <c r="H11" s="138"/>
      <c r="I11" s="138"/>
      <c r="J11" s="138"/>
      <c r="K11" s="138"/>
    </row>
    <row r="12" spans="1:11" s="144" customFormat="1" x14ac:dyDescent="0.2">
      <c r="A12" s="146" t="s">
        <v>23</v>
      </c>
      <c r="B12" s="149"/>
      <c r="C12" s="149"/>
      <c r="D12" s="149">
        <f>D23/D11*10000</f>
        <v>34246.031746031746</v>
      </c>
      <c r="E12" s="149">
        <f>E23/E11*10000</f>
        <v>22623.655913978495</v>
      </c>
      <c r="F12" s="149"/>
      <c r="G12" s="149"/>
      <c r="H12" s="149"/>
      <c r="I12" s="149"/>
      <c r="J12" s="149"/>
      <c r="K12" s="149"/>
    </row>
    <row r="13" spans="1:11" x14ac:dyDescent="0.2">
      <c r="A13" s="145" t="s">
        <v>212</v>
      </c>
      <c r="B13" s="138">
        <v>20</v>
      </c>
      <c r="C13" s="138"/>
      <c r="D13" s="138">
        <v>47</v>
      </c>
      <c r="E13" s="138">
        <v>25</v>
      </c>
      <c r="F13" s="138"/>
      <c r="G13" s="138"/>
      <c r="H13" s="138"/>
      <c r="I13" s="138"/>
      <c r="J13" s="138"/>
      <c r="K13" s="138"/>
    </row>
    <row r="14" spans="1:11" x14ac:dyDescent="0.2">
      <c r="A14" s="145" t="s">
        <v>213</v>
      </c>
      <c r="B14" s="138">
        <v>580.12</v>
      </c>
      <c r="C14" s="138"/>
      <c r="D14" s="148">
        <v>1208</v>
      </c>
      <c r="E14" s="138">
        <v>1033</v>
      </c>
      <c r="F14" s="138"/>
      <c r="G14" s="138"/>
      <c r="H14" s="138"/>
      <c r="I14" s="138"/>
      <c r="J14" s="138"/>
      <c r="K14" s="138"/>
    </row>
    <row r="15" spans="1:11" x14ac:dyDescent="0.2">
      <c r="A15" s="145" t="s">
        <v>455</v>
      </c>
      <c r="B15" s="138"/>
      <c r="C15" s="138"/>
      <c r="D15" s="148"/>
      <c r="E15" s="138"/>
      <c r="F15" s="138"/>
      <c r="G15" s="138"/>
      <c r="H15" s="138"/>
      <c r="I15" s="138"/>
      <c r="J15" s="138"/>
      <c r="K15" s="138"/>
    </row>
    <row r="16" spans="1:11" x14ac:dyDescent="0.2">
      <c r="B16" s="138"/>
      <c r="C16" s="138"/>
      <c r="D16" s="148"/>
      <c r="E16" s="138"/>
      <c r="F16" s="138"/>
      <c r="G16" s="138"/>
      <c r="H16" s="138"/>
      <c r="I16" s="138"/>
      <c r="J16" s="138"/>
      <c r="K16" s="138"/>
    </row>
    <row r="17" spans="1:11" hidden="1" x14ac:dyDescent="0.2">
      <c r="A17" s="145" t="s">
        <v>217</v>
      </c>
      <c r="B17" s="138">
        <v>637.15</v>
      </c>
      <c r="C17" s="138"/>
      <c r="D17" s="148"/>
      <c r="E17" s="138"/>
      <c r="F17" s="138"/>
      <c r="G17" s="138"/>
      <c r="H17" s="138"/>
      <c r="I17" s="138"/>
      <c r="J17" s="138"/>
      <c r="K17" s="138"/>
    </row>
    <row r="18" spans="1:11" hidden="1" x14ac:dyDescent="0.2">
      <c r="A18" s="145" t="s">
        <v>218</v>
      </c>
      <c r="B18" s="138">
        <v>1197.26</v>
      </c>
      <c r="C18" s="138"/>
      <c r="D18" s="148"/>
      <c r="E18" s="138"/>
      <c r="F18" s="138"/>
      <c r="G18" s="138"/>
      <c r="H18" s="138"/>
      <c r="I18" s="138"/>
      <c r="J18" s="138"/>
      <c r="K18" s="138"/>
    </row>
    <row r="19" spans="1:11" hidden="1" x14ac:dyDescent="0.2">
      <c r="B19" s="138"/>
      <c r="C19" s="138"/>
      <c r="D19" s="138"/>
      <c r="E19" s="138"/>
      <c r="F19" s="138"/>
      <c r="G19" s="138"/>
      <c r="H19" s="138"/>
      <c r="I19" s="138"/>
      <c r="J19" s="138"/>
      <c r="K19" s="138"/>
    </row>
    <row r="20" spans="1:11" x14ac:dyDescent="0.2">
      <c r="A20" s="145" t="s">
        <v>65</v>
      </c>
      <c r="B20" s="138">
        <v>14.44</v>
      </c>
      <c r="C20" s="138">
        <v>17.18</v>
      </c>
      <c r="D20" s="138">
        <v>19.059999999999999</v>
      </c>
      <c r="E20" s="138">
        <v>28.02</v>
      </c>
      <c r="F20" s="138"/>
      <c r="G20" s="138"/>
      <c r="H20" s="138"/>
      <c r="I20" s="138"/>
      <c r="J20" s="138"/>
      <c r="K20" s="138"/>
    </row>
    <row r="21" spans="1:11" x14ac:dyDescent="0.2">
      <c r="A21" s="145" t="s">
        <v>66</v>
      </c>
      <c r="B21" s="138">
        <v>22.11</v>
      </c>
      <c r="C21" s="138">
        <v>24.02</v>
      </c>
      <c r="D21" s="138">
        <v>27.75</v>
      </c>
      <c r="E21" s="138">
        <v>28.24</v>
      </c>
      <c r="F21" s="138"/>
      <c r="G21" s="138"/>
      <c r="H21" s="138"/>
      <c r="I21" s="138"/>
      <c r="J21" s="138"/>
      <c r="K21" s="138"/>
    </row>
    <row r="22" spans="1:11" x14ac:dyDescent="0.2">
      <c r="B22" s="138"/>
      <c r="C22" s="138"/>
      <c r="D22" s="138"/>
      <c r="E22" s="138"/>
      <c r="F22" s="138"/>
      <c r="G22" s="138"/>
      <c r="H22" s="138"/>
      <c r="I22" s="138"/>
      <c r="J22" s="138"/>
      <c r="K22" s="138"/>
    </row>
    <row r="23" spans="1:11" x14ac:dyDescent="0.2">
      <c r="A23" s="145" t="s">
        <v>214</v>
      </c>
      <c r="B23" s="138"/>
      <c r="C23" s="138"/>
      <c r="D23" s="148">
        <v>863</v>
      </c>
      <c r="E23" s="138">
        <v>1052</v>
      </c>
      <c r="F23" s="138"/>
      <c r="G23" s="138"/>
      <c r="H23" s="138"/>
      <c r="I23" s="138"/>
      <c r="J23" s="138"/>
      <c r="K23" s="138"/>
    </row>
    <row r="24" spans="1:11" x14ac:dyDescent="0.2">
      <c r="A24" s="145" t="s">
        <v>169</v>
      </c>
      <c r="B24" s="138">
        <v>637</v>
      </c>
      <c r="C24" s="138">
        <v>923</v>
      </c>
      <c r="D24" s="138">
        <f>E24-237</f>
        <v>1177.58</v>
      </c>
      <c r="E24" s="138">
        <v>1414.58</v>
      </c>
      <c r="F24" s="138"/>
      <c r="G24" s="138"/>
      <c r="H24" s="138"/>
      <c r="I24" s="138"/>
      <c r="J24" s="138"/>
      <c r="K24" s="138"/>
    </row>
    <row r="25" spans="1:11" x14ac:dyDescent="0.2">
      <c r="A25" s="145" t="s">
        <v>415</v>
      </c>
      <c r="B25" s="138">
        <v>28.97</v>
      </c>
      <c r="C25" s="138">
        <v>36.32</v>
      </c>
      <c r="D25" s="138">
        <v>56.11</v>
      </c>
      <c r="E25" s="138">
        <v>81.19</v>
      </c>
      <c r="F25" s="138"/>
      <c r="G25" s="138"/>
      <c r="H25" s="138"/>
      <c r="I25" s="138"/>
      <c r="J25" s="138"/>
      <c r="K25" s="138"/>
    </row>
    <row r="26" spans="1:11" x14ac:dyDescent="0.2">
      <c r="A26" s="145" t="s">
        <v>416</v>
      </c>
      <c r="B26" s="138">
        <f>B25-B27</f>
        <v>10.969999999999999</v>
      </c>
      <c r="C26" s="138">
        <f t="shared" ref="C26:E26" si="0">C25-C27</f>
        <v>7.8599999999999994</v>
      </c>
      <c r="D26" s="138">
        <f t="shared" si="0"/>
        <v>24.37</v>
      </c>
      <c r="E26" s="138">
        <f t="shared" si="0"/>
        <v>35.22</v>
      </c>
      <c r="F26" s="138"/>
      <c r="G26" s="138"/>
      <c r="H26" s="138"/>
      <c r="I26" s="138"/>
      <c r="J26" s="138"/>
      <c r="K26" s="138"/>
    </row>
    <row r="27" spans="1:11" x14ac:dyDescent="0.2">
      <c r="A27" s="145" t="s">
        <v>43</v>
      </c>
      <c r="B27" s="138">
        <v>18</v>
      </c>
      <c r="C27" s="138">
        <v>28.46</v>
      </c>
      <c r="D27" s="138">
        <v>31.74</v>
      </c>
      <c r="E27" s="138">
        <v>45.97</v>
      </c>
      <c r="F27" s="138"/>
      <c r="G27" s="138"/>
      <c r="H27" s="138"/>
      <c r="I27" s="138"/>
      <c r="J27" s="138"/>
      <c r="K27" s="138"/>
    </row>
    <row r="28" spans="1:11" x14ac:dyDescent="0.2">
      <c r="A28" s="145" t="s">
        <v>216</v>
      </c>
      <c r="B28" s="138">
        <v>33.200000000000003</v>
      </c>
      <c r="C28" s="138">
        <v>53.14</v>
      </c>
      <c r="D28" s="138">
        <v>73.13</v>
      </c>
      <c r="E28" s="138">
        <v>92.99</v>
      </c>
      <c r="F28" s="138"/>
      <c r="G28" s="138"/>
      <c r="H28" s="138"/>
      <c r="I28" s="138"/>
      <c r="J28" s="138"/>
      <c r="K28" s="138"/>
    </row>
    <row r="29" spans="1:11" x14ac:dyDescent="0.2">
      <c r="A29" s="145" t="s">
        <v>412</v>
      </c>
      <c r="B29" s="138"/>
      <c r="C29" s="138">
        <f>B28+C27</f>
        <v>61.660000000000004</v>
      </c>
      <c r="D29" s="138">
        <f>C28+D27</f>
        <v>84.88</v>
      </c>
      <c r="E29" s="138">
        <f>D28+E27</f>
        <v>119.1</v>
      </c>
      <c r="F29" s="138"/>
      <c r="G29" s="138"/>
      <c r="H29" s="138"/>
      <c r="I29" s="138"/>
      <c r="J29" s="138"/>
      <c r="K29" s="138"/>
    </row>
    <row r="30" spans="1:11" x14ac:dyDescent="0.2">
      <c r="A30" s="145" t="s">
        <v>411</v>
      </c>
      <c r="B30" s="138"/>
      <c r="C30" s="138">
        <f>C29-C28</f>
        <v>8.5200000000000031</v>
      </c>
      <c r="D30" s="138">
        <f t="shared" ref="D30:E30" si="1">D29-D28</f>
        <v>11.75</v>
      </c>
      <c r="E30" s="138">
        <f t="shared" si="1"/>
        <v>26.11</v>
      </c>
      <c r="F30" s="138"/>
      <c r="G30" s="138"/>
      <c r="H30" s="138"/>
      <c r="I30" s="138"/>
      <c r="J30" s="138"/>
      <c r="K30" s="138"/>
    </row>
  </sheetData>
  <phoneticPr fontId="1" type="noConversion"/>
  <pageMargins left="0.7" right="0.7" top="0.75" bottom="0.75" header="0.3" footer="0.3"/>
  <pageSetup paperSize="0" orientation="portrait" horizontalDpi="0" verticalDpi="0" copie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96A7F-7910-4C5F-A27F-105300BA05A8}">
  <dimension ref="A1:E40"/>
  <sheetViews>
    <sheetView workbookViewId="0">
      <selection activeCell="K29" sqref="K29"/>
    </sheetView>
  </sheetViews>
  <sheetFormatPr defaultRowHeight="14.25" x14ac:dyDescent="0.2"/>
  <cols>
    <col min="1" max="1" width="25.875" style="2" customWidth="1"/>
    <col min="2" max="16384" width="9" style="3"/>
  </cols>
  <sheetData>
    <row r="1" spans="1:5" s="18" customFormat="1" x14ac:dyDescent="0.2">
      <c r="A1" s="17" t="s">
        <v>323</v>
      </c>
      <c r="B1" s="18" t="s">
        <v>4</v>
      </c>
      <c r="C1" s="18" t="s">
        <v>3</v>
      </c>
      <c r="D1" s="18" t="s">
        <v>78</v>
      </c>
      <c r="E1" s="18" t="s">
        <v>79</v>
      </c>
    </row>
    <row r="2" spans="1:5" x14ac:dyDescent="0.2">
      <c r="A2" s="2" t="s">
        <v>324</v>
      </c>
      <c r="B2" s="3">
        <v>20.04</v>
      </c>
      <c r="C2" s="3">
        <v>38.85</v>
      </c>
      <c r="D2" s="3">
        <v>56.75</v>
      </c>
      <c r="E2" s="3">
        <v>70.3</v>
      </c>
    </row>
    <row r="3" spans="1:5" ht="28.5" x14ac:dyDescent="0.2">
      <c r="A3" s="19" t="s">
        <v>325</v>
      </c>
      <c r="B3" s="42">
        <v>16.95</v>
      </c>
      <c r="C3" s="42">
        <v>40.18</v>
      </c>
      <c r="D3" s="42">
        <v>57.34</v>
      </c>
      <c r="E3" s="42">
        <v>61.85</v>
      </c>
    </row>
    <row r="4" spans="1:5" x14ac:dyDescent="0.2">
      <c r="A4" s="2" t="s">
        <v>326</v>
      </c>
      <c r="B4" s="3">
        <v>180.69</v>
      </c>
      <c r="C4" s="3">
        <v>214.8</v>
      </c>
      <c r="D4" s="3">
        <v>265.67</v>
      </c>
      <c r="E4" s="3">
        <v>347.8</v>
      </c>
    </row>
    <row r="6" spans="1:5" x14ac:dyDescent="0.2">
      <c r="A6" s="2" t="s">
        <v>327</v>
      </c>
      <c r="B6" s="3">
        <v>630</v>
      </c>
      <c r="C6" s="3">
        <v>1188</v>
      </c>
      <c r="D6" s="3">
        <v>1860</v>
      </c>
      <c r="E6" s="3">
        <v>2232</v>
      </c>
    </row>
    <row r="7" spans="1:5" x14ac:dyDescent="0.2">
      <c r="A7" s="2" t="s">
        <v>328</v>
      </c>
      <c r="B7" s="3">
        <v>843</v>
      </c>
      <c r="C7" s="3">
        <v>1342</v>
      </c>
      <c r="D7" s="3">
        <v>1905</v>
      </c>
      <c r="E7" s="3">
        <v>2240</v>
      </c>
    </row>
    <row r="8" spans="1:5" x14ac:dyDescent="0.2">
      <c r="A8" s="2" t="s">
        <v>467</v>
      </c>
      <c r="B8" s="3">
        <f>B6/B7*10000</f>
        <v>7473.3096085409252</v>
      </c>
      <c r="C8" s="3">
        <f t="shared" ref="C8:E8" si="0">C6/C7*10000</f>
        <v>8852.4590163934427</v>
      </c>
      <c r="D8" s="3">
        <f t="shared" si="0"/>
        <v>9763.7795275590561</v>
      </c>
      <c r="E8" s="3">
        <f t="shared" si="0"/>
        <v>9964.2857142857138</v>
      </c>
    </row>
    <row r="9" spans="1:5" x14ac:dyDescent="0.2">
      <c r="A9" s="2" t="s">
        <v>334</v>
      </c>
      <c r="C9" s="3">
        <v>1051</v>
      </c>
      <c r="D9" s="3">
        <v>1610</v>
      </c>
      <c r="E9" s="3">
        <v>2011</v>
      </c>
    </row>
    <row r="10" spans="1:5" x14ac:dyDescent="0.2">
      <c r="A10" s="2" t="s">
        <v>344</v>
      </c>
      <c r="B10" s="4">
        <v>0.2051</v>
      </c>
      <c r="C10" s="4">
        <v>0.28560000000000002</v>
      </c>
      <c r="D10" s="4">
        <v>0.29120000000000001</v>
      </c>
      <c r="E10" s="4">
        <v>0.2301</v>
      </c>
    </row>
    <row r="12" spans="1:5" x14ac:dyDescent="0.2">
      <c r="A12" s="2" t="s">
        <v>329</v>
      </c>
      <c r="B12" s="3">
        <v>79</v>
      </c>
      <c r="C12" s="3">
        <v>110</v>
      </c>
      <c r="D12" s="3">
        <v>192</v>
      </c>
      <c r="E12" s="3">
        <v>148</v>
      </c>
    </row>
    <row r="13" spans="1:5" x14ac:dyDescent="0.2">
      <c r="A13" s="2" t="s">
        <v>330</v>
      </c>
      <c r="B13" s="3">
        <v>460</v>
      </c>
      <c r="C13" s="3">
        <v>700</v>
      </c>
      <c r="D13" s="3">
        <v>888</v>
      </c>
      <c r="E13" s="3">
        <v>892</v>
      </c>
    </row>
    <row r="14" spans="1:5" x14ac:dyDescent="0.2">
      <c r="A14" s="2" t="s">
        <v>354</v>
      </c>
      <c r="C14" s="3">
        <v>447</v>
      </c>
      <c r="D14" s="3">
        <v>562</v>
      </c>
    </row>
    <row r="15" spans="1:5" x14ac:dyDescent="0.2">
      <c r="A15" s="2" t="s">
        <v>331</v>
      </c>
      <c r="B15" s="3">
        <v>1245</v>
      </c>
      <c r="C15" s="3">
        <v>2054</v>
      </c>
      <c r="D15" s="3">
        <v>3323</v>
      </c>
      <c r="E15" s="3">
        <v>2364</v>
      </c>
    </row>
    <row r="16" spans="1:5" x14ac:dyDescent="0.2">
      <c r="A16" s="2" t="s">
        <v>332</v>
      </c>
      <c r="E16" s="3">
        <v>3773</v>
      </c>
    </row>
    <row r="17" spans="1:5" x14ac:dyDescent="0.2">
      <c r="A17" s="2" t="s">
        <v>333</v>
      </c>
      <c r="B17" s="3">
        <v>3300</v>
      </c>
      <c r="C17" s="3">
        <v>4100</v>
      </c>
      <c r="D17" s="3">
        <v>6700</v>
      </c>
      <c r="E17" s="3">
        <v>7100</v>
      </c>
    </row>
    <row r="19" spans="1:5" x14ac:dyDescent="0.2">
      <c r="A19" s="2" t="s">
        <v>339</v>
      </c>
      <c r="B19" s="3">
        <v>94</v>
      </c>
      <c r="C19" s="3">
        <v>188</v>
      </c>
      <c r="D19" s="3">
        <v>320</v>
      </c>
      <c r="E19" s="3">
        <v>421</v>
      </c>
    </row>
    <row r="20" spans="1:5" x14ac:dyDescent="0.2">
      <c r="A20" s="2" t="s">
        <v>340</v>
      </c>
      <c r="B20" s="3">
        <v>1096</v>
      </c>
      <c r="C20" s="3">
        <v>2700</v>
      </c>
      <c r="D20" s="3">
        <v>3163</v>
      </c>
      <c r="E20" s="3">
        <v>2964</v>
      </c>
    </row>
    <row r="21" spans="1:5" x14ac:dyDescent="0.2">
      <c r="A21" s="2" t="s">
        <v>342</v>
      </c>
      <c r="B21" s="3">
        <v>1746</v>
      </c>
      <c r="C21" s="3">
        <v>3740</v>
      </c>
      <c r="D21" s="3">
        <v>5776</v>
      </c>
      <c r="E21" s="3">
        <v>6852</v>
      </c>
    </row>
    <row r="22" spans="1:5" x14ac:dyDescent="0.2">
      <c r="A22" s="2" t="s">
        <v>341</v>
      </c>
      <c r="B22" s="3">
        <v>546</v>
      </c>
      <c r="C22" s="3">
        <v>810</v>
      </c>
      <c r="D22" s="3">
        <v>1208</v>
      </c>
      <c r="E22" s="3">
        <v>1995</v>
      </c>
    </row>
    <row r="24" spans="1:5" x14ac:dyDescent="0.2">
      <c r="A24" s="2" t="s">
        <v>335</v>
      </c>
      <c r="B24" s="3">
        <v>178</v>
      </c>
      <c r="C24" s="3">
        <v>276</v>
      </c>
      <c r="D24" s="3">
        <v>327</v>
      </c>
      <c r="E24" s="3">
        <v>325</v>
      </c>
    </row>
    <row r="25" spans="1:5" x14ac:dyDescent="0.2">
      <c r="A25" s="2" t="s">
        <v>336</v>
      </c>
      <c r="E25" s="3">
        <v>1.34</v>
      </c>
    </row>
    <row r="26" spans="1:5" x14ac:dyDescent="0.2">
      <c r="A26" s="2" t="s">
        <v>337</v>
      </c>
      <c r="C26" s="4">
        <v>0.50570000000000004</v>
      </c>
      <c r="D26" s="7">
        <v>0.48</v>
      </c>
      <c r="E26" s="4">
        <v>0.69850000000000001</v>
      </c>
    </row>
    <row r="27" spans="1:5" x14ac:dyDescent="0.2">
      <c r="A27" s="2" t="s">
        <v>338</v>
      </c>
      <c r="E27" s="4">
        <v>0.75070000000000003</v>
      </c>
    </row>
    <row r="29" spans="1:5" x14ac:dyDescent="0.2">
      <c r="A29" s="2" t="s">
        <v>345</v>
      </c>
      <c r="B29" s="3">
        <v>1000</v>
      </c>
      <c r="C29" s="3">
        <v>1500</v>
      </c>
      <c r="D29" s="3">
        <v>2200</v>
      </c>
      <c r="E29" s="3">
        <v>2500</v>
      </c>
    </row>
    <row r="30" spans="1:5" x14ac:dyDescent="0.2">
      <c r="A30" s="2" t="s">
        <v>346</v>
      </c>
      <c r="B30" s="3">
        <v>1500</v>
      </c>
      <c r="C30" s="3">
        <v>3000</v>
      </c>
      <c r="D30" s="3">
        <v>3600</v>
      </c>
      <c r="E30" s="3">
        <v>2900</v>
      </c>
    </row>
    <row r="31" spans="1:5" x14ac:dyDescent="0.2">
      <c r="A31" s="2" t="s">
        <v>347</v>
      </c>
      <c r="B31" s="3">
        <v>660</v>
      </c>
      <c r="C31" s="3">
        <v>5500</v>
      </c>
      <c r="E31" s="3">
        <v>2600</v>
      </c>
    </row>
    <row r="32" spans="1:5" x14ac:dyDescent="0.2">
      <c r="A32" s="2" t="s">
        <v>348</v>
      </c>
      <c r="B32" s="3">
        <v>2500</v>
      </c>
      <c r="D32" s="3">
        <v>7300</v>
      </c>
      <c r="E32" s="3">
        <v>7100</v>
      </c>
    </row>
    <row r="33" spans="1:5" x14ac:dyDescent="0.2">
      <c r="A33" s="2" t="s">
        <v>355</v>
      </c>
      <c r="C33" s="3">
        <v>3200</v>
      </c>
    </row>
    <row r="35" spans="1:5" x14ac:dyDescent="0.2">
      <c r="A35" s="2" t="s">
        <v>349</v>
      </c>
      <c r="C35" s="3">
        <v>19.22</v>
      </c>
      <c r="D35" s="3">
        <v>23.99</v>
      </c>
      <c r="E35" s="3">
        <v>23.99</v>
      </c>
    </row>
    <row r="36" spans="1:5" x14ac:dyDescent="0.2">
      <c r="A36" s="2" t="s">
        <v>350</v>
      </c>
      <c r="B36" s="3">
        <v>18.07</v>
      </c>
      <c r="C36" s="3">
        <v>25.61</v>
      </c>
      <c r="D36" s="3">
        <v>42.14</v>
      </c>
      <c r="E36" s="3">
        <v>34.61</v>
      </c>
    </row>
    <row r="37" spans="1:5" x14ac:dyDescent="0.2">
      <c r="A37" s="2" t="s">
        <v>351</v>
      </c>
      <c r="B37" s="3">
        <v>15.12</v>
      </c>
      <c r="C37" s="3">
        <v>23.39</v>
      </c>
      <c r="D37" s="3">
        <v>26.89</v>
      </c>
      <c r="E37" s="3">
        <v>30.14</v>
      </c>
    </row>
    <row r="38" spans="1:5" x14ac:dyDescent="0.2">
      <c r="A38" s="2" t="s">
        <v>343</v>
      </c>
      <c r="B38" s="3">
        <v>677.16</v>
      </c>
      <c r="C38" s="3">
        <v>820.39</v>
      </c>
      <c r="D38" s="3">
        <v>987.62</v>
      </c>
      <c r="E38" s="3">
        <v>976.64</v>
      </c>
    </row>
    <row r="39" spans="1:5" x14ac:dyDescent="0.2">
      <c r="A39" s="2" t="s">
        <v>352</v>
      </c>
      <c r="B39" s="3">
        <v>73.989999999999995</v>
      </c>
      <c r="C39" s="3">
        <v>99.59</v>
      </c>
      <c r="D39" s="3">
        <v>137.08000000000001</v>
      </c>
      <c r="E39" s="3">
        <v>161.33000000000001</v>
      </c>
    </row>
    <row r="40" spans="1:5" x14ac:dyDescent="0.2">
      <c r="A40" s="2" t="s">
        <v>353</v>
      </c>
      <c r="B40" s="4">
        <v>7.0400000000000004E-2</v>
      </c>
      <c r="C40" s="4">
        <v>7.3200000000000001E-2</v>
      </c>
      <c r="D40" s="4">
        <v>7.7600000000000002E-2</v>
      </c>
      <c r="E40" s="4">
        <v>7.6100000000000001E-2</v>
      </c>
    </row>
  </sheetData>
  <phoneticPr fontId="1" type="noConversion"/>
  <conditionalFormatting sqref="A15:XFD15">
    <cfRule type="colorScale" priority="2">
      <colorScale>
        <cfvo type="min"/>
        <cfvo type="max"/>
        <color rgb="FFFFEF9C"/>
        <color rgb="FF63BE7B"/>
      </colorScale>
    </cfRule>
  </conditionalFormatting>
  <conditionalFormatting sqref="A7:XFD7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D75A8-B7A9-4E91-BE63-8DBCBA1A8C7F}">
  <dimension ref="A1:D32"/>
  <sheetViews>
    <sheetView workbookViewId="0">
      <selection activeCell="A7" sqref="A7"/>
    </sheetView>
  </sheetViews>
  <sheetFormatPr defaultRowHeight="14.25" x14ac:dyDescent="0.2"/>
  <cols>
    <col min="1" max="1" width="28.125" style="2" customWidth="1"/>
    <col min="2" max="16384" width="9" style="3"/>
  </cols>
  <sheetData>
    <row r="1" spans="1:4" s="18" customFormat="1" x14ac:dyDescent="0.2">
      <c r="A1" s="17" t="s">
        <v>456</v>
      </c>
      <c r="B1" s="18" t="s">
        <v>3</v>
      </c>
      <c r="C1" s="18" t="s">
        <v>78</v>
      </c>
      <c r="D1" s="18" t="s">
        <v>79</v>
      </c>
    </row>
    <row r="2" spans="1:4" s="18" customFormat="1" x14ac:dyDescent="0.2">
      <c r="A2" s="17" t="s">
        <v>466</v>
      </c>
      <c r="B2" s="18">
        <v>25.26</v>
      </c>
      <c r="C2" s="18">
        <v>62.56</v>
      </c>
      <c r="D2" s="18">
        <v>65.66</v>
      </c>
    </row>
    <row r="3" spans="1:4" x14ac:dyDescent="0.2">
      <c r="A3" s="2" t="s">
        <v>457</v>
      </c>
      <c r="B3" s="3">
        <v>19.28</v>
      </c>
      <c r="C3" s="3">
        <v>39.01</v>
      </c>
      <c r="D3" s="3">
        <v>37.54</v>
      </c>
    </row>
    <row r="4" spans="1:4" x14ac:dyDescent="0.2">
      <c r="A4" s="2" t="s">
        <v>283</v>
      </c>
      <c r="B4" s="3">
        <v>25.78</v>
      </c>
      <c r="C4" s="3">
        <v>87.28</v>
      </c>
      <c r="D4" s="3">
        <v>109.07</v>
      </c>
    </row>
    <row r="5" spans="1:4" x14ac:dyDescent="0.2">
      <c r="A5" s="2" t="s">
        <v>465</v>
      </c>
      <c r="B5" s="3">
        <v>41.75</v>
      </c>
      <c r="C5" s="3">
        <v>121.43</v>
      </c>
      <c r="D5" s="3">
        <v>192.75</v>
      </c>
    </row>
    <row r="6" spans="1:4" x14ac:dyDescent="0.2">
      <c r="A6" s="2" t="s">
        <v>65</v>
      </c>
      <c r="B6" s="3">
        <v>13.34</v>
      </c>
      <c r="C6" s="3">
        <v>20.3</v>
      </c>
      <c r="D6" s="3">
        <v>22.54</v>
      </c>
    </row>
    <row r="7" spans="1:4" x14ac:dyDescent="0.2">
      <c r="A7" s="2" t="s">
        <v>66</v>
      </c>
      <c r="B7" s="3">
        <v>16.48</v>
      </c>
      <c r="C7" s="3">
        <v>25.49</v>
      </c>
      <c r="D7" s="3">
        <v>28.48</v>
      </c>
    </row>
    <row r="9" spans="1:4" x14ac:dyDescent="0.2">
      <c r="A9" s="2" t="s">
        <v>277</v>
      </c>
      <c r="B9" s="3">
        <v>1015</v>
      </c>
      <c r="C9" s="3">
        <v>1525</v>
      </c>
      <c r="D9" s="3">
        <v>1688</v>
      </c>
    </row>
    <row r="10" spans="1:4" x14ac:dyDescent="0.2">
      <c r="A10" s="2" t="s">
        <v>239</v>
      </c>
      <c r="B10" s="3">
        <v>1014.6</v>
      </c>
      <c r="C10" s="3">
        <v>1485.1</v>
      </c>
      <c r="D10" s="3">
        <v>1350</v>
      </c>
    </row>
    <row r="11" spans="1:4" x14ac:dyDescent="0.2">
      <c r="A11" s="2" t="s">
        <v>462</v>
      </c>
      <c r="C11" s="3">
        <v>932</v>
      </c>
      <c r="D11" s="3">
        <v>1148</v>
      </c>
    </row>
    <row r="12" spans="1:4" x14ac:dyDescent="0.2">
      <c r="A12" s="2" t="s">
        <v>233</v>
      </c>
      <c r="B12" s="150"/>
      <c r="C12" s="150">
        <f>C11/C9</f>
        <v>0.61114754098360657</v>
      </c>
      <c r="D12" s="150">
        <f>D11/D9</f>
        <v>0.68009478672985779</v>
      </c>
    </row>
    <row r="13" spans="1:4" x14ac:dyDescent="0.2">
      <c r="A13" s="2" t="s">
        <v>247</v>
      </c>
      <c r="B13" s="8">
        <v>10002</v>
      </c>
      <c r="C13" s="8">
        <v>10270</v>
      </c>
      <c r="D13" s="8">
        <v>12500</v>
      </c>
    </row>
    <row r="14" spans="1:4" x14ac:dyDescent="0.2">
      <c r="B14" s="25"/>
      <c r="C14" s="25"/>
      <c r="D14" s="25"/>
    </row>
    <row r="15" spans="1:4" x14ac:dyDescent="0.2">
      <c r="A15" s="2" t="s">
        <v>169</v>
      </c>
      <c r="B15" s="3">
        <v>270.05</v>
      </c>
      <c r="C15" s="3">
        <v>401.81</v>
      </c>
      <c r="D15" s="3">
        <v>540.91999999999996</v>
      </c>
    </row>
    <row r="16" spans="1:4" x14ac:dyDescent="0.2">
      <c r="A16" s="2" t="s">
        <v>170</v>
      </c>
      <c r="B16" s="3">
        <v>144.68</v>
      </c>
      <c r="C16" s="3">
        <v>215.03</v>
      </c>
      <c r="D16" s="3">
        <v>237.84</v>
      </c>
    </row>
    <row r="17" spans="1:4" x14ac:dyDescent="0.2">
      <c r="A17" s="2" t="s">
        <v>171</v>
      </c>
      <c r="B17" s="3">
        <v>125.36</v>
      </c>
      <c r="C17" s="3">
        <v>186.77</v>
      </c>
      <c r="D17" s="3">
        <v>303.08</v>
      </c>
    </row>
    <row r="18" spans="1:4" x14ac:dyDescent="0.2">
      <c r="A18" s="2" t="s">
        <v>285</v>
      </c>
    </row>
    <row r="19" spans="1:4" x14ac:dyDescent="0.2">
      <c r="A19" s="2" t="s">
        <v>44</v>
      </c>
      <c r="B19" s="3">
        <v>30.27</v>
      </c>
      <c r="C19" s="3">
        <v>45.21</v>
      </c>
      <c r="D19" s="3">
        <v>56.67</v>
      </c>
    </row>
    <row r="20" spans="1:4" x14ac:dyDescent="0.2">
      <c r="A20" s="2" t="s">
        <v>461</v>
      </c>
      <c r="B20" s="20">
        <v>9.9000000000000005E-2</v>
      </c>
      <c r="C20" s="20">
        <v>9.4E-2</v>
      </c>
      <c r="D20" s="20">
        <v>8.5000000000000006E-2</v>
      </c>
    </row>
    <row r="22" spans="1:4" x14ac:dyDescent="0.2">
      <c r="A22" s="2" t="s">
        <v>458</v>
      </c>
      <c r="C22" s="3">
        <v>764</v>
      </c>
      <c r="D22" s="3">
        <v>712</v>
      </c>
    </row>
    <row r="23" spans="1:4" x14ac:dyDescent="0.2">
      <c r="A23" s="2" t="s">
        <v>459</v>
      </c>
      <c r="C23" s="3">
        <v>139</v>
      </c>
      <c r="D23" s="3">
        <v>117</v>
      </c>
    </row>
    <row r="24" spans="1:4" x14ac:dyDescent="0.2">
      <c r="A24" s="2" t="s">
        <v>460</v>
      </c>
      <c r="C24" s="3">
        <v>1659.39</v>
      </c>
      <c r="D24" s="3">
        <v>1493.67</v>
      </c>
    </row>
    <row r="25" spans="1:4" x14ac:dyDescent="0.2">
      <c r="A25" s="2" t="s">
        <v>294</v>
      </c>
      <c r="C25" s="3">
        <v>4607</v>
      </c>
      <c r="D25" s="3">
        <v>4767</v>
      </c>
    </row>
    <row r="27" spans="1:4" x14ac:dyDescent="0.2">
      <c r="A27" s="2" t="s">
        <v>292</v>
      </c>
      <c r="C27" s="3">
        <v>458</v>
      </c>
      <c r="D27" s="3">
        <v>480</v>
      </c>
    </row>
    <row r="28" spans="1:4" x14ac:dyDescent="0.2">
      <c r="A28" s="2" t="s">
        <v>463</v>
      </c>
      <c r="C28" s="3">
        <v>5703.37</v>
      </c>
      <c r="D28" s="3">
        <v>6514.33</v>
      </c>
    </row>
    <row r="29" spans="1:4" x14ac:dyDescent="0.2">
      <c r="A29" s="2" t="s">
        <v>464</v>
      </c>
      <c r="C29" s="3">
        <v>4564.8599999999997</v>
      </c>
      <c r="D29" s="3">
        <v>5184.05</v>
      </c>
    </row>
    <row r="31" spans="1:4" x14ac:dyDescent="0.2">
      <c r="A31" s="2" t="s">
        <v>5</v>
      </c>
      <c r="B31" s="20">
        <v>0.22900000000000001</v>
      </c>
      <c r="C31" s="20">
        <v>0.23300000000000001</v>
      </c>
      <c r="D31" s="20">
        <v>0.21</v>
      </c>
    </row>
    <row r="32" spans="1:4" x14ac:dyDescent="0.2">
      <c r="A32" s="2" t="s">
        <v>18</v>
      </c>
      <c r="B32" s="4">
        <v>0.58099999999999996</v>
      </c>
      <c r="C32" s="20">
        <v>0.65600000000000003</v>
      </c>
      <c r="D32" s="20">
        <v>0.65800000000000003</v>
      </c>
    </row>
  </sheetData>
  <phoneticPr fontId="1" type="noConversion"/>
  <conditionalFormatting sqref="E24:XFD24 A24">
    <cfRule type="colorScale" priority="4">
      <colorScale>
        <cfvo type="min"/>
        <cfvo type="max"/>
        <color rgb="FFFFEF9C"/>
        <color rgb="FF63BE7B"/>
      </colorScale>
    </cfRule>
  </conditionalFormatting>
  <conditionalFormatting sqref="E16:XFD16 A16">
    <cfRule type="colorScale" priority="1">
      <colorScale>
        <cfvo type="min"/>
        <cfvo type="max"/>
        <color rgb="FFFCFCFF"/>
        <color rgb="FFF8696B"/>
      </colorScale>
    </cfRule>
  </conditionalFormatting>
  <conditionalFormatting sqref="E12:XFD12 A12">
    <cfRule type="colorScale" priority="13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E3AAC-0C4D-4CB5-BD72-944F9FC31698}">
  <dimension ref="A1:F33"/>
  <sheetViews>
    <sheetView workbookViewId="0">
      <selection activeCell="N20" sqref="N20"/>
    </sheetView>
  </sheetViews>
  <sheetFormatPr defaultRowHeight="14.25" x14ac:dyDescent="0.2"/>
  <cols>
    <col min="1" max="1" width="31.375" style="2" customWidth="1"/>
    <col min="2" max="16384" width="9" style="3"/>
  </cols>
  <sheetData>
    <row r="1" spans="1:6" s="18" customFormat="1" x14ac:dyDescent="0.2">
      <c r="A1" s="17" t="s">
        <v>399</v>
      </c>
      <c r="B1" s="18" t="s">
        <v>187</v>
      </c>
      <c r="C1" s="18" t="s">
        <v>4</v>
      </c>
      <c r="D1" s="18" t="s">
        <v>77</v>
      </c>
      <c r="E1" s="18" t="s">
        <v>78</v>
      </c>
      <c r="F1" s="18" t="s">
        <v>79</v>
      </c>
    </row>
    <row r="2" spans="1:6" x14ac:dyDescent="0.2">
      <c r="A2" s="2" t="s">
        <v>138</v>
      </c>
      <c r="B2" s="3">
        <v>99.72</v>
      </c>
      <c r="C2" s="3">
        <v>145.44</v>
      </c>
      <c r="D2" s="3">
        <v>157.59</v>
      </c>
      <c r="E2" s="3">
        <v>192.13</v>
      </c>
      <c r="F2" s="3">
        <v>185.32</v>
      </c>
    </row>
    <row r="3" spans="1:6" x14ac:dyDescent="0.2">
      <c r="A3" s="2" t="s">
        <v>406</v>
      </c>
      <c r="B3" s="4">
        <v>9.06E-2</v>
      </c>
      <c r="C3" s="4">
        <v>7.1900000000000006E-2</v>
      </c>
      <c r="D3" s="4">
        <v>7.5399999999999995E-2</v>
      </c>
      <c r="E3" s="4">
        <v>8.6499999999999994E-2</v>
      </c>
      <c r="F3" s="4">
        <v>8.2000000000000003E-2</v>
      </c>
    </row>
    <row r="4" spans="1:6" x14ac:dyDescent="0.2">
      <c r="A4" s="2" t="s">
        <v>65</v>
      </c>
      <c r="B4" s="3">
        <v>9.39</v>
      </c>
      <c r="C4" s="3">
        <v>12.45</v>
      </c>
      <c r="D4" s="3">
        <v>16.03</v>
      </c>
      <c r="E4" s="3">
        <v>16.059999999999999</v>
      </c>
      <c r="F4" s="3">
        <v>14.66</v>
      </c>
    </row>
    <row r="5" spans="1:6" x14ac:dyDescent="0.2">
      <c r="A5" s="2" t="s">
        <v>66</v>
      </c>
      <c r="B5" s="3">
        <v>7.51</v>
      </c>
      <c r="C5" s="3">
        <v>9.31</v>
      </c>
      <c r="D5" s="3">
        <v>12</v>
      </c>
      <c r="E5" s="3">
        <v>12.88</v>
      </c>
      <c r="F5" s="3">
        <v>12.9</v>
      </c>
    </row>
    <row r="7" spans="1:6" x14ac:dyDescent="0.2">
      <c r="A7" s="2" t="s">
        <v>328</v>
      </c>
      <c r="B7" s="3">
        <v>281.60000000000002</v>
      </c>
      <c r="C7" s="3">
        <v>609.27</v>
      </c>
      <c r="D7" s="3">
        <v>802</v>
      </c>
      <c r="E7" s="3">
        <v>1095.3</v>
      </c>
      <c r="F7" s="3">
        <v>1205.07</v>
      </c>
    </row>
    <row r="8" spans="1:6" x14ac:dyDescent="0.2">
      <c r="A8" s="2" t="s">
        <v>409</v>
      </c>
      <c r="B8" s="8">
        <f>B20/B7*10000</f>
        <v>10701.349431818182</v>
      </c>
      <c r="C8" s="8">
        <f>C20/C7*10000</f>
        <v>9544.536904820523</v>
      </c>
      <c r="D8" s="8">
        <f>D20/D7*10000</f>
        <v>10660.84788029925</v>
      </c>
      <c r="E8" s="8">
        <f>E20/E7*10000</f>
        <v>9270.2455948142069</v>
      </c>
      <c r="F8" s="8">
        <f>F20/F7*10000</f>
        <v>8591.700067216012</v>
      </c>
    </row>
    <row r="9" spans="1:6" x14ac:dyDescent="0.2">
      <c r="A9" s="2" t="s">
        <v>191</v>
      </c>
      <c r="D9" s="3">
        <v>629</v>
      </c>
      <c r="E9" s="3">
        <v>715.4</v>
      </c>
      <c r="F9" s="3">
        <v>710.61</v>
      </c>
    </row>
    <row r="10" spans="1:6" x14ac:dyDescent="0.2">
      <c r="A10" s="2" t="s">
        <v>400</v>
      </c>
      <c r="E10" s="3">
        <v>798.44</v>
      </c>
      <c r="F10" s="3">
        <v>908.99</v>
      </c>
    </row>
    <row r="11" spans="1:6" x14ac:dyDescent="0.2">
      <c r="A11" s="2" t="s">
        <v>258</v>
      </c>
      <c r="C11" s="3">
        <v>530.9</v>
      </c>
      <c r="D11" s="3">
        <v>1077</v>
      </c>
      <c r="E11" s="3">
        <v>866.93</v>
      </c>
      <c r="F11" s="3">
        <v>1236.04</v>
      </c>
    </row>
    <row r="12" spans="1:6" x14ac:dyDescent="0.2">
      <c r="A12" s="2" t="s">
        <v>260</v>
      </c>
      <c r="C12" s="3">
        <v>273.07</v>
      </c>
      <c r="D12" s="3">
        <v>337</v>
      </c>
      <c r="E12" s="3">
        <v>515.82000000000005</v>
      </c>
      <c r="F12" s="3">
        <v>507.32</v>
      </c>
    </row>
    <row r="14" spans="1:6" x14ac:dyDescent="0.2">
      <c r="A14" s="2" t="s">
        <v>30</v>
      </c>
      <c r="D14" s="3">
        <v>85</v>
      </c>
      <c r="E14" s="3">
        <v>48</v>
      </c>
      <c r="F14" s="3">
        <v>60</v>
      </c>
    </row>
    <row r="15" spans="1:6" x14ac:dyDescent="0.2">
      <c r="A15" s="2" t="s">
        <v>225</v>
      </c>
      <c r="D15" s="3">
        <v>1496</v>
      </c>
      <c r="E15" s="3">
        <v>1121</v>
      </c>
      <c r="F15" s="3">
        <v>962</v>
      </c>
    </row>
    <row r="16" spans="1:6" x14ac:dyDescent="0.2">
      <c r="A16" s="2" t="s">
        <v>407</v>
      </c>
      <c r="E16" s="3">
        <v>1773</v>
      </c>
    </row>
    <row r="18" spans="1:6" x14ac:dyDescent="0.2">
      <c r="A18" s="2" t="s">
        <v>208</v>
      </c>
      <c r="B18" s="4">
        <v>0.23130000000000001</v>
      </c>
      <c r="C18" s="4">
        <v>0.22700000000000001</v>
      </c>
      <c r="D18" s="4">
        <v>0.25600000000000001</v>
      </c>
      <c r="E18" s="4">
        <v>0.26669999999999999</v>
      </c>
      <c r="F18" s="4">
        <v>0.21060000000000001</v>
      </c>
    </row>
    <row r="20" spans="1:6" x14ac:dyDescent="0.2">
      <c r="A20" s="2" t="s">
        <v>143</v>
      </c>
      <c r="B20" s="3">
        <v>301.35000000000002</v>
      </c>
      <c r="C20" s="3">
        <v>581.52</v>
      </c>
      <c r="D20" s="3">
        <v>855</v>
      </c>
      <c r="E20" s="3">
        <v>1015.37</v>
      </c>
      <c r="F20" s="3">
        <v>1035.3599999999999</v>
      </c>
    </row>
    <row r="21" spans="1:6" x14ac:dyDescent="0.2">
      <c r="A21" s="2" t="s">
        <v>405</v>
      </c>
      <c r="B21" s="3">
        <v>273.69</v>
      </c>
      <c r="C21" s="3">
        <v>347.81</v>
      </c>
      <c r="D21" s="3">
        <v>569.57000000000005</v>
      </c>
      <c r="E21" s="3">
        <v>609.04</v>
      </c>
      <c r="F21" s="3">
        <v>729.85</v>
      </c>
    </row>
    <row r="22" spans="1:6" x14ac:dyDescent="0.2">
      <c r="A22" s="2" t="s">
        <v>44</v>
      </c>
      <c r="B22" s="3">
        <v>20.079999999999998</v>
      </c>
      <c r="C22" s="3">
        <v>17.510000000000002</v>
      </c>
      <c r="D22" s="3">
        <v>24.76</v>
      </c>
      <c r="E22" s="3">
        <v>47.4</v>
      </c>
      <c r="F22" s="3">
        <v>60.33</v>
      </c>
    </row>
    <row r="23" spans="1:6" x14ac:dyDescent="0.2">
      <c r="A23" s="2" t="s">
        <v>413</v>
      </c>
    </row>
    <row r="25" spans="1:6" x14ac:dyDescent="0.2">
      <c r="A25" s="2" t="s">
        <v>18</v>
      </c>
      <c r="E25" s="4">
        <v>0.79200000000000004</v>
      </c>
      <c r="F25" s="4">
        <v>0.88570000000000004</v>
      </c>
    </row>
    <row r="26" spans="1:6" x14ac:dyDescent="0.2">
      <c r="A26" s="2" t="s">
        <v>337</v>
      </c>
      <c r="D26" s="4">
        <v>0.69979999999999998</v>
      </c>
      <c r="E26" s="4">
        <v>0.6794</v>
      </c>
      <c r="F26" s="4">
        <v>0.73029999999999995</v>
      </c>
    </row>
    <row r="27" spans="1:6" x14ac:dyDescent="0.2">
      <c r="A27" s="2" t="s">
        <v>123</v>
      </c>
      <c r="F27" s="3">
        <v>1.06</v>
      </c>
    </row>
    <row r="29" spans="1:6" x14ac:dyDescent="0.2">
      <c r="A29" s="2" t="s">
        <v>401</v>
      </c>
    </row>
    <row r="30" spans="1:6" x14ac:dyDescent="0.2">
      <c r="A30" s="2" t="s">
        <v>402</v>
      </c>
      <c r="C30" s="3" t="s">
        <v>408</v>
      </c>
      <c r="E30" s="3" t="s">
        <v>181</v>
      </c>
      <c r="F30" s="3" t="s">
        <v>181</v>
      </c>
    </row>
    <row r="31" spans="1:6" x14ac:dyDescent="0.2">
      <c r="A31" s="2" t="s">
        <v>175</v>
      </c>
      <c r="E31" s="3" t="s">
        <v>403</v>
      </c>
      <c r="F31" s="3" t="s">
        <v>403</v>
      </c>
    </row>
    <row r="32" spans="1:6" x14ac:dyDescent="0.2">
      <c r="A32" s="2" t="s">
        <v>178</v>
      </c>
      <c r="E32" s="3" t="s">
        <v>404</v>
      </c>
      <c r="F32" s="3" t="s">
        <v>404</v>
      </c>
    </row>
    <row r="33" spans="1:4" x14ac:dyDescent="0.2">
      <c r="A33" s="2" t="s">
        <v>180</v>
      </c>
      <c r="C33" s="3" t="s">
        <v>408</v>
      </c>
      <c r="D33" s="3" t="s">
        <v>408</v>
      </c>
    </row>
  </sheetData>
  <phoneticPr fontId="1" type="noConversion"/>
  <pageMargins left="0.7" right="0.7" top="0.75" bottom="0.75" header="0.3" footer="0.3"/>
  <pageSetup paperSize="0" orientation="portrait" horizontalDpi="0" verticalDpi="0" copie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A1946-9D2B-4338-B3D6-D30CDB1E0796}">
  <dimension ref="A1"/>
  <sheetViews>
    <sheetView workbookViewId="0">
      <selection activeCell="N24" sqref="N24"/>
    </sheetView>
  </sheetViews>
  <sheetFormatPr defaultRowHeight="14.25" x14ac:dyDescent="0.2"/>
  <sheetData>
    <row r="1" spans="1:1" s="156" customFormat="1" x14ac:dyDescent="0.2">
      <c r="A1" s="155" t="s">
        <v>410</v>
      </c>
    </row>
  </sheetData>
  <mergeCells count="1">
    <mergeCell ref="A1:XFD1"/>
  </mergeCells>
  <phoneticPr fontId="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D3FA6-DC61-4063-A0C6-F9B893FA4356}">
  <dimension ref="A1:K47"/>
  <sheetViews>
    <sheetView tabSelected="1" workbookViewId="0">
      <selection activeCell="O14" sqref="O14"/>
    </sheetView>
  </sheetViews>
  <sheetFormatPr defaultRowHeight="16.5" x14ac:dyDescent="0.35"/>
  <cols>
    <col min="1" max="1" width="22.5" style="68" customWidth="1"/>
    <col min="2" max="16384" width="9" style="43"/>
  </cols>
  <sheetData>
    <row r="1" spans="1:11" s="54" customFormat="1" ht="24" customHeight="1" x14ac:dyDescent="0.2">
      <c r="A1" s="62" t="s">
        <v>480</v>
      </c>
      <c r="B1" s="54" t="s">
        <v>71</v>
      </c>
      <c r="C1" s="54" t="s">
        <v>72</v>
      </c>
      <c r="D1" s="54" t="s">
        <v>73</v>
      </c>
      <c r="E1" s="54" t="s">
        <v>74</v>
      </c>
      <c r="F1" s="54" t="s">
        <v>75</v>
      </c>
      <c r="G1" s="54" t="s">
        <v>76</v>
      </c>
      <c r="H1" s="54" t="s">
        <v>77</v>
      </c>
      <c r="I1" s="54" t="s">
        <v>78</v>
      </c>
      <c r="J1" s="54" t="s">
        <v>79</v>
      </c>
      <c r="K1" s="151" t="s">
        <v>473</v>
      </c>
    </row>
    <row r="2" spans="1:11" s="50" customFormat="1" ht="18" customHeight="1" x14ac:dyDescent="0.2">
      <c r="A2" s="63" t="s">
        <v>476</v>
      </c>
      <c r="E2" s="58"/>
      <c r="F2" s="58"/>
      <c r="G2" s="58"/>
      <c r="H2" s="58"/>
      <c r="I2" s="58"/>
      <c r="J2" s="58"/>
    </row>
    <row r="3" spans="1:11" s="50" customFormat="1" ht="18" customHeight="1" x14ac:dyDescent="0.2">
      <c r="A3" s="63" t="s">
        <v>479</v>
      </c>
      <c r="B3" s="50">
        <v>299.08999999999997</v>
      </c>
      <c r="C3" s="50">
        <v>369.84</v>
      </c>
      <c r="D3" s="50">
        <v>477.64</v>
      </c>
      <c r="E3" s="58">
        <v>551.24</v>
      </c>
      <c r="F3" s="58">
        <v>617.65</v>
      </c>
      <c r="G3" s="58">
        <v>705.66</v>
      </c>
      <c r="H3" s="58">
        <v>816.61</v>
      </c>
      <c r="I3" s="58">
        <v>939.56</v>
      </c>
      <c r="J3" s="58">
        <v>1083.44</v>
      </c>
      <c r="K3" s="50">
        <v>1097.02</v>
      </c>
    </row>
    <row r="4" spans="1:11" s="50" customFormat="1" ht="18" customHeight="1" x14ac:dyDescent="0.2">
      <c r="A4" s="63" t="s">
        <v>439</v>
      </c>
      <c r="B4" s="50">
        <v>26.68</v>
      </c>
      <c r="C4" s="50">
        <v>27.92</v>
      </c>
      <c r="D4" s="50">
        <v>25.08</v>
      </c>
      <c r="E4" s="58">
        <v>73.430000000000007</v>
      </c>
      <c r="F4" s="58">
        <v>133.5</v>
      </c>
      <c r="G4" s="58">
        <v>356.12</v>
      </c>
      <c r="H4" s="58">
        <v>591.55999999999995</v>
      </c>
      <c r="I4" s="58">
        <v>727.21</v>
      </c>
      <c r="J4" s="58">
        <v>843.8</v>
      </c>
      <c r="K4" s="50">
        <v>909.5</v>
      </c>
    </row>
    <row r="5" spans="1:11" s="153" customFormat="1" ht="18" customHeight="1" x14ac:dyDescent="0.2">
      <c r="A5" s="152" t="s">
        <v>481</v>
      </c>
      <c r="B5" s="153">
        <v>186.11</v>
      </c>
      <c r="C5" s="153">
        <v>146.76</v>
      </c>
      <c r="D5" s="153">
        <v>190.37</v>
      </c>
      <c r="E5" s="117">
        <v>181.6</v>
      </c>
      <c r="F5" s="117">
        <v>173.55</v>
      </c>
      <c r="G5" s="117">
        <v>267.61</v>
      </c>
      <c r="H5" s="117">
        <v>452.64</v>
      </c>
      <c r="I5" s="117">
        <v>609.5</v>
      </c>
      <c r="J5" s="117">
        <v>778.3</v>
      </c>
      <c r="K5" s="153">
        <v>994.7</v>
      </c>
    </row>
    <row r="6" spans="1:11" s="103" customFormat="1" ht="18" customHeight="1" x14ac:dyDescent="0.2">
      <c r="A6" s="105" t="s">
        <v>123</v>
      </c>
      <c r="B6" s="113">
        <f>B5/B40</f>
        <v>3.6427872382070854</v>
      </c>
      <c r="C6" s="113">
        <f>C5/C40</f>
        <v>1.6186169626116687</v>
      </c>
      <c r="D6" s="113">
        <f>D5/D40</f>
        <v>2.3879829402910189</v>
      </c>
      <c r="E6" s="113">
        <f>E5/E40</f>
        <v>2.9394626092586598</v>
      </c>
      <c r="F6" s="113">
        <f>F5/F40</f>
        <v>3.2542658916182265</v>
      </c>
      <c r="G6" s="113">
        <f>G5/G40</f>
        <v>4.7881553050635182</v>
      </c>
      <c r="H6" s="113">
        <f>H5/H40</f>
        <v>3.8555366269165243</v>
      </c>
      <c r="I6" s="113">
        <f>I5/I40</f>
        <v>4.3754486719310837</v>
      </c>
      <c r="J6" s="113">
        <f>J5/J40</f>
        <v>4.2437295528898575</v>
      </c>
      <c r="K6" s="113">
        <f>(K5)/K40</f>
        <v>5.4834619625137817</v>
      </c>
    </row>
    <row r="7" spans="1:11" x14ac:dyDescent="0.35">
      <c r="A7" s="68" t="s">
        <v>18</v>
      </c>
      <c r="B7" s="44"/>
      <c r="C7" s="44">
        <v>0.57899999999999996</v>
      </c>
      <c r="D7" s="44">
        <v>0.57099999999999995</v>
      </c>
      <c r="E7" s="44">
        <v>0.54600000000000004</v>
      </c>
      <c r="F7" s="44">
        <v>0.53900000000000003</v>
      </c>
      <c r="G7" s="44">
        <v>0.47699999999999998</v>
      </c>
      <c r="H7" s="44">
        <v>0.52900000000000003</v>
      </c>
      <c r="I7" s="53">
        <v>0.51</v>
      </c>
      <c r="J7" s="44">
        <v>0.46500000000000002</v>
      </c>
      <c r="K7" s="53">
        <v>0.46</v>
      </c>
    </row>
    <row r="8" spans="1:11" x14ac:dyDescent="0.35">
      <c r="A8" s="68" t="s">
        <v>280</v>
      </c>
      <c r="K8" s="44">
        <v>0.68300000000000005</v>
      </c>
    </row>
    <row r="9" spans="1:11" s="56" customFormat="1" ht="18" customHeight="1" x14ac:dyDescent="0.2">
      <c r="A9" s="66" t="s">
        <v>482</v>
      </c>
      <c r="D9" s="56">
        <v>0.25</v>
      </c>
      <c r="E9" s="60">
        <v>0.3</v>
      </c>
      <c r="F9" s="60">
        <v>0.35</v>
      </c>
      <c r="G9" s="60">
        <v>0.4</v>
      </c>
      <c r="H9" s="60">
        <v>0.45</v>
      </c>
      <c r="I9" s="60"/>
      <c r="J9" s="60">
        <v>0.46500000000000002</v>
      </c>
    </row>
    <row r="10" spans="1:11" s="50" customFormat="1" ht="18" customHeight="1" x14ac:dyDescent="0.2">
      <c r="A10" s="63"/>
      <c r="E10" s="58"/>
      <c r="F10" s="58"/>
      <c r="G10" s="58"/>
      <c r="H10" s="58"/>
      <c r="I10" s="58"/>
      <c r="J10" s="58"/>
    </row>
    <row r="11" spans="1:11" s="50" customFormat="1" ht="18" customHeight="1" x14ac:dyDescent="0.2">
      <c r="A11" s="63" t="s">
        <v>477</v>
      </c>
      <c r="E11" s="58"/>
      <c r="F11" s="58"/>
      <c r="G11" s="58"/>
      <c r="H11" s="58"/>
      <c r="I11" s="58"/>
      <c r="J11" s="58"/>
    </row>
    <row r="12" spans="1:11" s="57" customFormat="1" ht="18" customHeight="1" x14ac:dyDescent="0.2">
      <c r="A12" s="67" t="s">
        <v>440</v>
      </c>
      <c r="B12" s="57">
        <f>B14/B3</f>
        <v>0.21067237286435522</v>
      </c>
      <c r="C12" s="57">
        <f>C14/C3</f>
        <v>0.21731018818948739</v>
      </c>
      <c r="D12" s="57">
        <f>D14/D3</f>
        <v>0.17490159953102757</v>
      </c>
      <c r="E12" s="57">
        <f>E14/E3</f>
        <v>0.16305057688121324</v>
      </c>
      <c r="F12" s="57">
        <f>F14/F3</f>
        <v>0.14819072290131952</v>
      </c>
      <c r="G12" s="57">
        <f>G14/G3</f>
        <v>0.17854207408667064</v>
      </c>
      <c r="H12" s="57">
        <f>H14/H3</f>
        <v>0.19883420482237543</v>
      </c>
      <c r="I12" s="57">
        <f>I14/I3</f>
        <v>0.19516582229979992</v>
      </c>
      <c r="J12" s="57">
        <f>J14/J3</f>
        <v>0.18459720889020156</v>
      </c>
      <c r="K12" s="57">
        <f>K14/K3</f>
        <v>6.7628666751745642E-2</v>
      </c>
    </row>
    <row r="13" spans="1:11" s="50" customFormat="1" ht="18" customHeight="1" x14ac:dyDescent="0.2">
      <c r="A13" s="63" t="s">
        <v>318</v>
      </c>
      <c r="B13" s="50">
        <v>278.93</v>
      </c>
      <c r="C13" s="50">
        <v>415.1</v>
      </c>
      <c r="D13" s="50">
        <v>509.91</v>
      </c>
      <c r="E13" s="58">
        <v>474.23</v>
      </c>
      <c r="F13" s="58">
        <v>547.99</v>
      </c>
      <c r="G13" s="58">
        <v>720.75</v>
      </c>
      <c r="H13" s="58">
        <v>1157.98</v>
      </c>
      <c r="I13" s="58">
        <v>1510.26</v>
      </c>
      <c r="J13" s="58">
        <v>1845.47</v>
      </c>
      <c r="K13" s="50">
        <v>606.20000000000005</v>
      </c>
    </row>
    <row r="14" spans="1:11" s="50" customFormat="1" ht="18" customHeight="1" x14ac:dyDescent="0.2">
      <c r="A14" s="64" t="s">
        <v>436</v>
      </c>
      <c r="B14" s="50">
        <v>63.01</v>
      </c>
      <c r="C14" s="50">
        <v>80.37</v>
      </c>
      <c r="D14" s="50">
        <v>83.54</v>
      </c>
      <c r="E14" s="58">
        <v>89.88</v>
      </c>
      <c r="F14" s="58">
        <v>91.53</v>
      </c>
      <c r="G14" s="58">
        <v>125.99</v>
      </c>
      <c r="H14" s="58">
        <v>162.37</v>
      </c>
      <c r="I14" s="58">
        <v>183.37</v>
      </c>
      <c r="J14" s="58">
        <v>200</v>
      </c>
      <c r="K14" s="50">
        <v>74.19</v>
      </c>
    </row>
    <row r="15" spans="1:11" s="50" customFormat="1" ht="18" customHeight="1" x14ac:dyDescent="0.2">
      <c r="A15" s="64" t="s">
        <v>484</v>
      </c>
      <c r="B15" s="50">
        <v>10.15</v>
      </c>
      <c r="C15" s="50">
        <v>25.21</v>
      </c>
      <c r="D15" s="50">
        <v>21.91</v>
      </c>
      <c r="E15" s="58">
        <v>24.4</v>
      </c>
      <c r="F15" s="58">
        <v>19.71</v>
      </c>
      <c r="G15" s="58">
        <v>44.2</v>
      </c>
      <c r="H15" s="58">
        <v>35.43</v>
      </c>
      <c r="I15" s="58">
        <v>35.93</v>
      </c>
      <c r="J15" s="58">
        <v>17.55</v>
      </c>
      <c r="K15" s="50">
        <v>22.59</v>
      </c>
    </row>
    <row r="16" spans="1:11" s="50" customFormat="1" ht="18" customHeight="1" x14ac:dyDescent="0.2">
      <c r="A16" s="63" t="s">
        <v>5</v>
      </c>
      <c r="B16" s="57">
        <f>11183090/27892830</f>
        <v>0.40093063342801716</v>
      </c>
      <c r="C16" s="57">
        <f>11538208/41510167</f>
        <v>0.27796101133488577</v>
      </c>
      <c r="D16" s="57">
        <f>13515843/50990678</f>
        <v>0.265064979132068</v>
      </c>
      <c r="E16" s="61">
        <f>13014792/47423099</f>
        <v>0.27443993063380356</v>
      </c>
      <c r="F16" s="61">
        <f>15935381/54799495</f>
        <v>0.29079430385261762</v>
      </c>
      <c r="G16" s="61">
        <v>0.33900000000000002</v>
      </c>
      <c r="H16" s="61">
        <v>0.34100000000000003</v>
      </c>
      <c r="I16" s="61">
        <v>0.33600000000000002</v>
      </c>
      <c r="J16" s="61">
        <v>0.29299999999999998</v>
      </c>
      <c r="K16" s="57">
        <v>0.27700000000000002</v>
      </c>
    </row>
    <row r="17" spans="1:11" s="57" customFormat="1" ht="18" customHeight="1" x14ac:dyDescent="0.2">
      <c r="A17" s="154" t="s">
        <v>469</v>
      </c>
      <c r="B17" s="57">
        <f t="shared" ref="B17:K17" si="0">B14/B13</f>
        <v>0.22589897106800988</v>
      </c>
      <c r="C17" s="57">
        <f t="shared" si="0"/>
        <v>0.19361599614550712</v>
      </c>
      <c r="D17" s="57">
        <f t="shared" si="0"/>
        <v>0.16383283324508247</v>
      </c>
      <c r="E17" s="57">
        <f t="shared" si="0"/>
        <v>0.18952828796153764</v>
      </c>
      <c r="F17" s="57">
        <f t="shared" si="0"/>
        <v>0.16702859541232504</v>
      </c>
      <c r="G17" s="57">
        <f t="shared" si="0"/>
        <v>0.17480402358654179</v>
      </c>
      <c r="H17" s="57">
        <f t="shared" si="0"/>
        <v>0.14021831119708458</v>
      </c>
      <c r="I17" s="57">
        <f t="shared" si="0"/>
        <v>0.12141617999549746</v>
      </c>
      <c r="J17" s="57">
        <f t="shared" si="0"/>
        <v>0.10837347667531848</v>
      </c>
      <c r="K17" s="57">
        <f t="shared" si="0"/>
        <v>0.12238535136918507</v>
      </c>
    </row>
    <row r="18" spans="1:11" s="57" customFormat="1" ht="18" customHeight="1" x14ac:dyDescent="0.2">
      <c r="A18" s="154" t="s">
        <v>485</v>
      </c>
      <c r="B18" s="57">
        <f t="shared" ref="B18:K18" si="1">(B14-B15)/B13</f>
        <v>0.18950991288136809</v>
      </c>
      <c r="C18" s="57">
        <f t="shared" si="1"/>
        <v>0.13288364249578416</v>
      </c>
      <c r="D18" s="57">
        <f t="shared" si="1"/>
        <v>0.12086446627836286</v>
      </c>
      <c r="E18" s="57">
        <f t="shared" si="1"/>
        <v>0.13807646078906857</v>
      </c>
      <c r="F18" s="57">
        <f t="shared" si="1"/>
        <v>0.13106078578076241</v>
      </c>
      <c r="G18" s="57">
        <f t="shared" si="1"/>
        <v>0.11347901491501906</v>
      </c>
      <c r="H18" s="57">
        <f t="shared" si="1"/>
        <v>0.10962192783985907</v>
      </c>
      <c r="I18" s="57">
        <f t="shared" si="1"/>
        <v>9.7625574404407181E-2</v>
      </c>
      <c r="J18" s="57">
        <f t="shared" si="1"/>
        <v>9.8863704097059274E-2</v>
      </c>
      <c r="K18" s="57">
        <f t="shared" si="1"/>
        <v>8.5120422302870327E-2</v>
      </c>
    </row>
    <row r="19" spans="1:11" s="57" customFormat="1" ht="18" customHeight="1" x14ac:dyDescent="0.2">
      <c r="A19" s="67"/>
      <c r="E19" s="61"/>
      <c r="F19" s="61"/>
      <c r="G19" s="61"/>
      <c r="H19" s="61"/>
      <c r="I19" s="61"/>
      <c r="J19" s="61"/>
    </row>
    <row r="20" spans="1:11" s="57" customFormat="1" ht="18" customHeight="1" x14ac:dyDescent="0.2">
      <c r="A20" s="67" t="s">
        <v>478</v>
      </c>
      <c r="E20" s="61"/>
      <c r="F20" s="61"/>
      <c r="G20" s="61"/>
      <c r="H20" s="61"/>
      <c r="I20" s="61"/>
      <c r="J20" s="61"/>
    </row>
    <row r="21" spans="1:11" s="50" customFormat="1" ht="18" customHeight="1" x14ac:dyDescent="0.2">
      <c r="A21" s="63" t="s">
        <v>486</v>
      </c>
      <c r="B21" s="50">
        <v>401.3</v>
      </c>
      <c r="C21" s="50">
        <v>481.2</v>
      </c>
      <c r="D21" s="50">
        <v>490.5</v>
      </c>
      <c r="E21" s="58">
        <v>545.4</v>
      </c>
      <c r="F21" s="58">
        <v>881.4</v>
      </c>
      <c r="G21" s="58">
        <v>1560.8</v>
      </c>
      <c r="H21" s="58">
        <v>2006.4</v>
      </c>
      <c r="I21" s="58">
        <v>2425</v>
      </c>
      <c r="J21" s="58">
        <v>2706.1</v>
      </c>
      <c r="K21" s="50">
        <v>1426.3</v>
      </c>
    </row>
    <row r="22" spans="1:11" s="50" customFormat="1" ht="18" customHeight="1" x14ac:dyDescent="0.2">
      <c r="A22" s="63" t="s">
        <v>487</v>
      </c>
      <c r="B22" s="50">
        <v>417.96</v>
      </c>
      <c r="C22" s="50">
        <v>426.12</v>
      </c>
      <c r="D22" s="50">
        <v>454.02</v>
      </c>
      <c r="E22" s="58">
        <v>425.29</v>
      </c>
      <c r="F22" s="58">
        <v>602.01</v>
      </c>
      <c r="G22" s="58">
        <v>1016.7</v>
      </c>
      <c r="H22" s="58">
        <v>1236.3</v>
      </c>
      <c r="I22" s="58">
        <v>1424</v>
      </c>
      <c r="J22" s="58">
        <v>1616.2</v>
      </c>
      <c r="K22" s="50">
        <v>826</v>
      </c>
    </row>
    <row r="23" spans="1:11" s="50" customFormat="1" ht="18" customHeight="1" x14ac:dyDescent="0.2">
      <c r="A23" s="63" t="s">
        <v>488</v>
      </c>
      <c r="B23" s="50">
        <v>9603</v>
      </c>
      <c r="C23" s="50">
        <v>11293</v>
      </c>
      <c r="D23" s="50">
        <v>10803</v>
      </c>
      <c r="E23" s="58">
        <v>12825</v>
      </c>
      <c r="F23" s="58">
        <v>14642</v>
      </c>
      <c r="G23" s="58">
        <v>15352</v>
      </c>
      <c r="H23" s="58">
        <v>16229</v>
      </c>
      <c r="I23" s="58">
        <v>17032</v>
      </c>
      <c r="J23" s="58">
        <v>16744</v>
      </c>
      <c r="K23" s="50">
        <v>17272</v>
      </c>
    </row>
    <row r="24" spans="1:11" s="50" customFormat="1" ht="18" customHeight="1" x14ac:dyDescent="0.2">
      <c r="A24" s="63" t="s">
        <v>474</v>
      </c>
      <c r="B24" s="50">
        <v>545</v>
      </c>
      <c r="C24" s="50">
        <v>575</v>
      </c>
      <c r="D24" s="50">
        <v>520</v>
      </c>
      <c r="E24" s="58">
        <v>553</v>
      </c>
      <c r="F24" s="58">
        <v>737</v>
      </c>
      <c r="G24" s="58">
        <v>852</v>
      </c>
      <c r="H24" s="58">
        <v>1951</v>
      </c>
      <c r="I24" s="58">
        <v>2535</v>
      </c>
      <c r="J24" s="58">
        <v>3107</v>
      </c>
      <c r="K24" s="50">
        <v>3753</v>
      </c>
    </row>
    <row r="25" spans="1:11" s="50" customFormat="1" ht="18" customHeight="1" x14ac:dyDescent="0.2">
      <c r="A25" s="63" t="s">
        <v>84</v>
      </c>
      <c r="B25" s="50">
        <v>518</v>
      </c>
      <c r="C25" s="50">
        <v>504</v>
      </c>
      <c r="D25" s="50">
        <v>482</v>
      </c>
      <c r="E25" s="58">
        <v>400</v>
      </c>
      <c r="F25" s="58">
        <v>476</v>
      </c>
      <c r="G25" s="58">
        <v>1342</v>
      </c>
      <c r="H25" s="58">
        <v>1174</v>
      </c>
      <c r="I25" s="58">
        <v>1500</v>
      </c>
      <c r="J25" s="58">
        <v>1800</v>
      </c>
      <c r="K25" s="50">
        <v>2200</v>
      </c>
    </row>
    <row r="26" spans="1:11" s="50" customFormat="1" ht="18" customHeight="1" x14ac:dyDescent="0.2">
      <c r="A26" s="63" t="s">
        <v>483</v>
      </c>
      <c r="E26" s="58"/>
      <c r="F26" s="58">
        <v>439.91</v>
      </c>
      <c r="G26" s="58">
        <v>932.17</v>
      </c>
      <c r="H26" s="58">
        <v>1134.4000000000001</v>
      </c>
      <c r="I26" s="58">
        <v>1551.56</v>
      </c>
      <c r="J26" s="58">
        <v>1823.89</v>
      </c>
      <c r="K26" s="50">
        <v>2408.77</v>
      </c>
    </row>
    <row r="27" spans="1:11" s="50" customFormat="1" ht="18" customHeight="1" x14ac:dyDescent="0.2">
      <c r="A27" s="63"/>
      <c r="E27" s="58"/>
      <c r="F27" s="58"/>
      <c r="G27" s="58"/>
      <c r="H27" s="58"/>
      <c r="I27" s="58"/>
      <c r="J27" s="58"/>
    </row>
    <row r="28" spans="1:11" s="50" customFormat="1" ht="18" customHeight="1" x14ac:dyDescent="0.2">
      <c r="A28" s="63" t="s">
        <v>470</v>
      </c>
      <c r="E28" s="58"/>
      <c r="F28" s="58"/>
      <c r="G28" s="58"/>
      <c r="H28" s="58"/>
      <c r="I28" s="58"/>
      <c r="J28" s="58"/>
    </row>
    <row r="29" spans="1:11" s="50" customFormat="1" ht="18" customHeight="1" x14ac:dyDescent="0.2">
      <c r="A29" s="63" t="s">
        <v>489</v>
      </c>
      <c r="B29" s="50">
        <v>891</v>
      </c>
      <c r="C29" s="50">
        <v>559</v>
      </c>
      <c r="D29" s="50">
        <v>311</v>
      </c>
      <c r="E29" s="58">
        <v>583</v>
      </c>
      <c r="F29" s="58">
        <v>1255</v>
      </c>
      <c r="G29" s="58">
        <v>2023</v>
      </c>
      <c r="H29" s="58">
        <v>2189</v>
      </c>
      <c r="I29" s="58">
        <v>1731</v>
      </c>
      <c r="J29" s="58">
        <v>2567</v>
      </c>
      <c r="K29" s="50">
        <v>1292</v>
      </c>
    </row>
    <row r="30" spans="1:11" s="50" customFormat="1" ht="18" customHeight="1" x14ac:dyDescent="0.2">
      <c r="A30" s="63" t="s">
        <v>490</v>
      </c>
      <c r="E30" s="58"/>
      <c r="F30" s="58"/>
      <c r="G30" s="58">
        <v>1149</v>
      </c>
      <c r="H30" s="58">
        <v>1372</v>
      </c>
      <c r="I30" s="58">
        <v>1273</v>
      </c>
      <c r="J30" s="58">
        <v>1847</v>
      </c>
      <c r="K30" s="50">
        <v>723</v>
      </c>
    </row>
    <row r="31" spans="1:11" s="50" customFormat="1" ht="18" hidden="1" customHeight="1" x14ac:dyDescent="0.2">
      <c r="A31" s="63" t="s">
        <v>90</v>
      </c>
      <c r="B31" s="50">
        <v>8.72E-2</v>
      </c>
      <c r="C31" s="50">
        <v>0.13</v>
      </c>
      <c r="E31" s="58"/>
      <c r="F31" s="58"/>
      <c r="G31" s="58"/>
      <c r="H31" s="58"/>
      <c r="I31" s="58"/>
      <c r="J31" s="58"/>
    </row>
    <row r="32" spans="1:11" s="50" customFormat="1" ht="18" customHeight="1" x14ac:dyDescent="0.2">
      <c r="A32" s="63" t="s">
        <v>91</v>
      </c>
      <c r="B32" s="50">
        <v>2479</v>
      </c>
      <c r="C32" s="50">
        <v>3120</v>
      </c>
      <c r="D32" s="50">
        <v>6785</v>
      </c>
      <c r="E32" s="58">
        <v>7469</v>
      </c>
      <c r="F32" s="58">
        <v>6329</v>
      </c>
      <c r="G32" s="58">
        <v>6445</v>
      </c>
      <c r="H32" s="58">
        <v>5297</v>
      </c>
      <c r="I32" s="58">
        <v>6186</v>
      </c>
      <c r="J32" s="58">
        <v>5687</v>
      </c>
      <c r="K32" s="50">
        <v>5382</v>
      </c>
    </row>
    <row r="33" spans="1:11" s="50" customFormat="1" ht="18" customHeight="1" x14ac:dyDescent="0.2">
      <c r="A33" s="63"/>
      <c r="E33" s="58"/>
      <c r="F33" s="58"/>
      <c r="G33" s="58"/>
      <c r="H33" s="58"/>
      <c r="I33" s="58"/>
      <c r="J33" s="58"/>
    </row>
    <row r="34" spans="1:11" s="50" customFormat="1" ht="18" customHeight="1" x14ac:dyDescent="0.2">
      <c r="A34" s="63" t="s">
        <v>493</v>
      </c>
      <c r="B34" s="50">
        <v>3952</v>
      </c>
      <c r="C34" s="50">
        <v>3949</v>
      </c>
      <c r="D34" s="50">
        <v>3492</v>
      </c>
      <c r="E34" s="58">
        <v>3486</v>
      </c>
      <c r="F34" s="58">
        <v>4147</v>
      </c>
      <c r="G34" s="58">
        <v>5458</v>
      </c>
      <c r="H34" s="58">
        <v>6636</v>
      </c>
      <c r="I34" s="58">
        <v>6814</v>
      </c>
      <c r="J34" s="58">
        <v>7400</v>
      </c>
      <c r="K34" s="50">
        <v>7717</v>
      </c>
    </row>
    <row r="35" spans="1:11" s="50" customFormat="1" ht="18" customHeight="1" x14ac:dyDescent="0.2">
      <c r="A35" s="63" t="s">
        <v>492</v>
      </c>
      <c r="B35" s="50">
        <v>3582</v>
      </c>
      <c r="C35" s="50">
        <v>3576</v>
      </c>
      <c r="D35" s="50">
        <v>3284</v>
      </c>
      <c r="E35" s="58">
        <v>3054</v>
      </c>
      <c r="F35" s="58">
        <v>3294</v>
      </c>
      <c r="G35" s="58">
        <v>3900</v>
      </c>
      <c r="H35" s="58">
        <v>4559</v>
      </c>
      <c r="I35" s="58">
        <v>4742</v>
      </c>
      <c r="J35" s="58">
        <v>5279</v>
      </c>
      <c r="K35" s="50">
        <v>5367</v>
      </c>
    </row>
    <row r="36" spans="1:11" s="50" customFormat="1" ht="18" customHeight="1" x14ac:dyDescent="0.2">
      <c r="A36" s="63" t="s">
        <v>87</v>
      </c>
      <c r="B36" s="50">
        <v>1964</v>
      </c>
      <c r="C36" s="50">
        <v>2050</v>
      </c>
      <c r="D36" s="50">
        <v>2363</v>
      </c>
      <c r="E36" s="58">
        <v>3165</v>
      </c>
      <c r="F36" s="58">
        <v>4039</v>
      </c>
      <c r="G36" s="58">
        <v>5032</v>
      </c>
      <c r="H36" s="58">
        <v>5218</v>
      </c>
      <c r="I36" s="58">
        <v>5737</v>
      </c>
      <c r="J36" s="58">
        <v>5569</v>
      </c>
      <c r="K36" s="50">
        <v>5323</v>
      </c>
    </row>
    <row r="37" spans="1:11" s="50" customFormat="1" ht="18" customHeight="1" x14ac:dyDescent="0.2">
      <c r="A37" s="63"/>
      <c r="E37" s="58"/>
      <c r="F37" s="58"/>
      <c r="G37" s="58"/>
      <c r="H37" s="58"/>
      <c r="I37" s="58"/>
      <c r="J37" s="58"/>
    </row>
    <row r="38" spans="1:11" s="50" customFormat="1" ht="18" customHeight="1" x14ac:dyDescent="0.2">
      <c r="A38" s="63" t="s">
        <v>471</v>
      </c>
      <c r="E38" s="58"/>
      <c r="F38" s="58"/>
      <c r="G38" s="58"/>
      <c r="H38" s="58"/>
      <c r="I38" s="58"/>
      <c r="J38" s="58"/>
    </row>
    <row r="39" spans="1:11" s="50" customFormat="1" ht="18" customHeight="1" x14ac:dyDescent="0.2">
      <c r="A39" s="63" t="s">
        <v>92</v>
      </c>
      <c r="B39" s="50">
        <v>328.4</v>
      </c>
      <c r="C39" s="50">
        <v>377</v>
      </c>
      <c r="D39" s="50">
        <v>477.4</v>
      </c>
      <c r="E39" s="58">
        <v>522.70000000000005</v>
      </c>
      <c r="F39" s="58">
        <v>578.70000000000005</v>
      </c>
      <c r="G39" s="58">
        <v>774</v>
      </c>
      <c r="H39" s="58">
        <v>1198.2</v>
      </c>
      <c r="I39" s="58">
        <v>1460</v>
      </c>
      <c r="J39" s="58">
        <v>1673.7</v>
      </c>
      <c r="K39" s="50">
        <v>1918.2</v>
      </c>
    </row>
    <row r="40" spans="1:11" s="50" customFormat="1" ht="18" customHeight="1" x14ac:dyDescent="0.2">
      <c r="A40" s="63" t="s">
        <v>475</v>
      </c>
      <c r="B40" s="50">
        <v>51.09</v>
      </c>
      <c r="C40" s="50">
        <v>90.67</v>
      </c>
      <c r="D40" s="50">
        <v>79.72</v>
      </c>
      <c r="E40" s="58">
        <v>61.78</v>
      </c>
      <c r="F40" s="58">
        <v>53.33</v>
      </c>
      <c r="G40" s="58">
        <f>36.11+19.78</f>
        <v>55.89</v>
      </c>
      <c r="H40" s="58">
        <v>117.4</v>
      </c>
      <c r="I40" s="58">
        <v>139.30000000000001</v>
      </c>
      <c r="J40" s="58">
        <v>183.4</v>
      </c>
      <c r="K40" s="50">
        <v>181.4</v>
      </c>
    </row>
    <row r="41" spans="1:11" s="50" customFormat="1" ht="18" customHeight="1" x14ac:dyDescent="0.2">
      <c r="A41" s="63" t="s">
        <v>96</v>
      </c>
      <c r="E41" s="58"/>
      <c r="F41" s="58"/>
      <c r="G41" s="58">
        <v>34.06</v>
      </c>
      <c r="H41" s="58">
        <v>48.97</v>
      </c>
      <c r="I41" s="58">
        <v>65.87</v>
      </c>
      <c r="J41" s="58">
        <v>79.78</v>
      </c>
    </row>
    <row r="42" spans="1:11" s="50" customFormat="1" ht="18" customHeight="1" x14ac:dyDescent="0.2">
      <c r="A42" s="63" t="s">
        <v>97</v>
      </c>
      <c r="E42" s="58"/>
      <c r="F42" s="58"/>
      <c r="G42" s="58">
        <v>33.6</v>
      </c>
      <c r="H42" s="58">
        <v>48.23</v>
      </c>
      <c r="I42" s="58">
        <v>65.11</v>
      </c>
      <c r="J42" s="58">
        <v>78.72</v>
      </c>
    </row>
    <row r="43" spans="1:11" s="50" customFormat="1" ht="18" customHeight="1" x14ac:dyDescent="0.2">
      <c r="A43" s="63" t="s">
        <v>491</v>
      </c>
      <c r="B43" s="57">
        <v>6.7199999999999996E-2</v>
      </c>
      <c r="C43" s="57">
        <v>6.5799999999999997E-2</v>
      </c>
      <c r="D43" s="57">
        <v>6.4000000000000001E-2</v>
      </c>
      <c r="E43" s="61">
        <v>5.74E-2</v>
      </c>
      <c r="F43" s="61">
        <v>4.9200000000000001E-2</v>
      </c>
      <c r="G43" s="61">
        <v>4.4999999999999998E-2</v>
      </c>
      <c r="H43" s="61">
        <v>4.5499999999999999E-2</v>
      </c>
      <c r="I43" s="61">
        <v>4.5400000000000003E-2</v>
      </c>
      <c r="J43" s="61">
        <v>4.3900000000000002E-2</v>
      </c>
      <c r="K43" s="57">
        <v>4.2099999999999999E-2</v>
      </c>
    </row>
    <row r="44" spans="1:11" s="50" customFormat="1" ht="18" customHeight="1" x14ac:dyDescent="0.2">
      <c r="A44" s="63"/>
      <c r="B44" s="57"/>
      <c r="C44" s="57"/>
      <c r="D44" s="57"/>
      <c r="E44" s="61"/>
      <c r="F44" s="61"/>
      <c r="G44" s="61"/>
      <c r="H44" s="61"/>
      <c r="I44" s="61"/>
      <c r="J44" s="61"/>
      <c r="K44" s="57"/>
    </row>
    <row r="45" spans="1:11" s="50" customFormat="1" ht="18" customHeight="1" x14ac:dyDescent="0.2">
      <c r="A45" s="63" t="s">
        <v>472</v>
      </c>
      <c r="B45" s="57"/>
      <c r="C45" s="57"/>
      <c r="D45" s="57"/>
      <c r="E45" s="61"/>
      <c r="F45" s="61"/>
      <c r="G45" s="61"/>
      <c r="H45" s="61"/>
      <c r="I45" s="61"/>
      <c r="J45" s="61"/>
      <c r="K45" s="57"/>
    </row>
    <row r="46" spans="1:11" s="50" customFormat="1" ht="18" customHeight="1" x14ac:dyDescent="0.2">
      <c r="A46" s="63" t="s">
        <v>100</v>
      </c>
      <c r="E46" s="58">
        <v>10.17</v>
      </c>
      <c r="F46" s="58">
        <v>14.27</v>
      </c>
      <c r="G46" s="58">
        <v>17.96</v>
      </c>
      <c r="H46" s="58">
        <v>31.93</v>
      </c>
      <c r="I46" s="58">
        <v>40.340000000000003</v>
      </c>
      <c r="J46" s="58">
        <v>50.33</v>
      </c>
      <c r="K46" s="50">
        <v>23.32</v>
      </c>
    </row>
    <row r="47" spans="1:11" s="50" customFormat="1" ht="18" customHeight="1" x14ac:dyDescent="0.2">
      <c r="A47" s="63" t="s">
        <v>101</v>
      </c>
      <c r="E47" s="58">
        <v>14.35</v>
      </c>
      <c r="F47" s="58">
        <v>20.22</v>
      </c>
      <c r="G47" s="58">
        <v>32.67</v>
      </c>
      <c r="H47" s="58">
        <v>53.96</v>
      </c>
      <c r="I47" s="58">
        <v>65.2</v>
      </c>
      <c r="J47" s="58">
        <v>72.94</v>
      </c>
      <c r="K47" s="50">
        <v>46.89</v>
      </c>
    </row>
  </sheetData>
  <phoneticPr fontId="1" type="noConversion"/>
  <conditionalFormatting sqref="A29:XFD29">
    <cfRule type="colorScale" priority="7">
      <colorScale>
        <cfvo type="min"/>
        <cfvo type="max"/>
        <color rgb="FFFFEF9C"/>
        <color rgb="FF63BE7B"/>
      </colorScale>
    </cfRule>
  </conditionalFormatting>
  <conditionalFormatting sqref="A22:XFD22">
    <cfRule type="colorScale" priority="6">
      <colorScale>
        <cfvo type="min"/>
        <cfvo type="max"/>
        <color rgb="FFFFEF9C"/>
        <color rgb="FF63BE7B"/>
      </colorScale>
    </cfRule>
  </conditionalFormatting>
  <conditionalFormatting sqref="A18:XFD18">
    <cfRule type="colorScale" priority="5">
      <colorScale>
        <cfvo type="min"/>
        <cfvo type="max"/>
        <color rgb="FFFFEF9C"/>
        <color rgb="FF63BE7B"/>
      </colorScale>
    </cfRule>
  </conditionalFormatting>
  <conditionalFormatting sqref="A6:XFD6">
    <cfRule type="colorScale" priority="4">
      <colorScale>
        <cfvo type="min"/>
        <cfvo type="max"/>
        <color rgb="FFFFEF9C"/>
        <color rgb="FF63BE7B"/>
      </colorScale>
    </cfRule>
  </conditionalFormatting>
  <conditionalFormatting sqref="A40:XFD40">
    <cfRule type="colorScale" priority="3">
      <colorScale>
        <cfvo type="min"/>
        <cfvo type="max"/>
        <color rgb="FF63BE7B"/>
        <color rgb="FFFFEF9C"/>
      </colorScale>
    </cfRule>
  </conditionalFormatting>
  <conditionalFormatting sqref="A12:XFD12">
    <cfRule type="colorScale" priority="1">
      <colorScale>
        <cfvo type="min"/>
        <cfvo type="max"/>
        <color rgb="FFFFEF9C"/>
        <color rgb="FF63BE7B"/>
      </colorScale>
    </cfRule>
  </conditionalFormatting>
  <conditionalFormatting sqref="A19:XFD20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403B44-6847-4955-8FB9-063AE0B0F0EE}">
  <dimension ref="A1:F34"/>
  <sheetViews>
    <sheetView workbookViewId="0">
      <pane ySplit="1" topLeftCell="A2" activePane="bottomLeft" state="frozen"/>
      <selection pane="bottomLeft" activeCell="H25" sqref="H25"/>
    </sheetView>
  </sheetViews>
  <sheetFormatPr defaultRowHeight="14.25" x14ac:dyDescent="0.2"/>
  <cols>
    <col min="1" max="1" width="29.875" style="132" customWidth="1"/>
    <col min="2" max="2" width="10.375" style="133" customWidth="1"/>
    <col min="3" max="3" width="9.75" style="133" customWidth="1"/>
    <col min="4" max="4" width="10.25" style="133" customWidth="1"/>
    <col min="5" max="5" width="9.875" style="133" customWidth="1"/>
    <col min="6" max="6" width="9.125" style="133" customWidth="1"/>
    <col min="7" max="16384" width="9" style="87"/>
  </cols>
  <sheetData>
    <row r="1" spans="1:6" s="90" customFormat="1" ht="25.5" customHeight="1" x14ac:dyDescent="0.2">
      <c r="A1" s="90" t="s">
        <v>132</v>
      </c>
      <c r="B1" s="94" t="s">
        <v>75</v>
      </c>
      <c r="C1" s="94" t="s">
        <v>76</v>
      </c>
      <c r="D1" s="94" t="s">
        <v>77</v>
      </c>
      <c r="E1" s="94" t="s">
        <v>78</v>
      </c>
      <c r="F1" s="94" t="s">
        <v>79</v>
      </c>
    </row>
    <row r="2" spans="1:6" ht="17.100000000000001" customHeight="1" x14ac:dyDescent="0.35">
      <c r="A2" s="92" t="s">
        <v>138</v>
      </c>
      <c r="B2" s="119">
        <v>137.88999999999999</v>
      </c>
      <c r="C2" s="119">
        <v>154.69999999999999</v>
      </c>
      <c r="D2" s="119">
        <v>173.98</v>
      </c>
      <c r="E2" s="119">
        <v>214.39</v>
      </c>
      <c r="F2" s="119">
        <v>287.01</v>
      </c>
    </row>
    <row r="3" spans="1:6" ht="17.100000000000001" customHeight="1" x14ac:dyDescent="0.35">
      <c r="A3" s="92" t="s">
        <v>136</v>
      </c>
      <c r="B3" s="119"/>
      <c r="C3" s="119">
        <v>6.87</v>
      </c>
      <c r="D3" s="119">
        <v>21.9</v>
      </c>
      <c r="E3" s="119">
        <v>41.6</v>
      </c>
      <c r="F3" s="119">
        <v>70.77</v>
      </c>
    </row>
    <row r="4" spans="1:6" s="122" customFormat="1" ht="17.100000000000001" customHeight="1" x14ac:dyDescent="0.2">
      <c r="A4" s="120" t="s">
        <v>442</v>
      </c>
      <c r="B4" s="121"/>
      <c r="C4" s="121"/>
      <c r="D4" s="121">
        <v>16.350000000000001</v>
      </c>
      <c r="E4" s="121">
        <v>35.090000000000003</v>
      </c>
      <c r="F4" s="121">
        <v>56.44</v>
      </c>
    </row>
    <row r="5" spans="1:6" s="125" customFormat="1" ht="17.100000000000001" customHeight="1" x14ac:dyDescent="0.2">
      <c r="A5" s="123" t="s">
        <v>450</v>
      </c>
      <c r="B5" s="124"/>
      <c r="C5" s="124"/>
      <c r="D5" s="124">
        <v>4.45</v>
      </c>
      <c r="E5" s="124">
        <v>10.53</v>
      </c>
      <c r="F5" s="124">
        <v>21.27</v>
      </c>
    </row>
    <row r="6" spans="1:6" ht="17.100000000000001" customHeight="1" x14ac:dyDescent="0.35">
      <c r="A6" s="92" t="s">
        <v>133</v>
      </c>
      <c r="B6" s="126"/>
      <c r="C6" s="127">
        <v>0.108</v>
      </c>
      <c r="D6" s="127">
        <v>0.20300000000000001</v>
      </c>
      <c r="E6" s="127">
        <v>0.253</v>
      </c>
      <c r="F6" s="126">
        <v>0.30049999999999999</v>
      </c>
    </row>
    <row r="7" spans="1:6" s="130" customFormat="1" ht="17.100000000000001" customHeight="1" x14ac:dyDescent="0.35">
      <c r="A7" s="128" t="s">
        <v>443</v>
      </c>
      <c r="B7" s="129"/>
      <c r="C7" s="129"/>
      <c r="D7" s="129">
        <v>275.60000000000002</v>
      </c>
      <c r="E7" s="129">
        <f>F7/1.135</f>
        <v>516.0352422907489</v>
      </c>
      <c r="F7" s="129">
        <v>585.70000000000005</v>
      </c>
    </row>
    <row r="8" spans="1:6" ht="17.100000000000001" customHeight="1" x14ac:dyDescent="0.35">
      <c r="A8" s="92" t="s">
        <v>134</v>
      </c>
      <c r="B8" s="126">
        <v>0.18079999999999999</v>
      </c>
      <c r="C8" s="126">
        <v>0.15570000000000001</v>
      </c>
      <c r="D8" s="126">
        <v>0.20230000000000001</v>
      </c>
      <c r="E8" s="126">
        <v>0.17929999999999999</v>
      </c>
      <c r="F8" s="126">
        <v>0.19139999999999999</v>
      </c>
    </row>
    <row r="9" spans="1:6" ht="17.100000000000001" customHeight="1" x14ac:dyDescent="0.35">
      <c r="A9" s="92" t="s">
        <v>135</v>
      </c>
      <c r="B9" s="119">
        <v>12054</v>
      </c>
      <c r="C9" s="119">
        <v>11260</v>
      </c>
      <c r="D9" s="119">
        <v>12810</v>
      </c>
      <c r="E9" s="119">
        <v>12725</v>
      </c>
      <c r="F9" s="119">
        <v>13281</v>
      </c>
    </row>
    <row r="10" spans="1:6" ht="17.100000000000001" customHeight="1" x14ac:dyDescent="0.35">
      <c r="A10" s="92" t="s">
        <v>444</v>
      </c>
      <c r="B10" s="119"/>
      <c r="C10" s="119"/>
      <c r="D10" s="119">
        <v>1101.2</v>
      </c>
      <c r="E10" s="119">
        <v>1233.5999999999999</v>
      </c>
      <c r="F10" s="119">
        <v>1202.9000000000001</v>
      </c>
    </row>
    <row r="11" spans="1:6" ht="17.100000000000001" customHeight="1" x14ac:dyDescent="0.35">
      <c r="A11" s="92" t="s">
        <v>84</v>
      </c>
      <c r="B11" s="119"/>
      <c r="C11" s="119"/>
      <c r="D11" s="119"/>
      <c r="E11" s="119"/>
      <c r="F11" s="119"/>
    </row>
    <row r="12" spans="1:6" ht="17.100000000000001" customHeight="1" x14ac:dyDescent="0.35">
      <c r="A12" s="92" t="s">
        <v>85</v>
      </c>
      <c r="B12" s="119">
        <v>1395</v>
      </c>
      <c r="C12" s="119">
        <v>2373</v>
      </c>
      <c r="D12" s="119">
        <v>2824</v>
      </c>
      <c r="E12" s="119">
        <v>2272</v>
      </c>
      <c r="F12" s="119"/>
    </row>
    <row r="13" spans="1:6" ht="17.100000000000001" customHeight="1" x14ac:dyDescent="0.35">
      <c r="A13" s="92" t="s">
        <v>87</v>
      </c>
      <c r="B13" s="119">
        <v>2529</v>
      </c>
      <c r="C13" s="119"/>
      <c r="D13" s="119"/>
      <c r="E13" s="119"/>
      <c r="F13" s="119"/>
    </row>
    <row r="14" spans="1:6" ht="17.100000000000001" customHeight="1" x14ac:dyDescent="0.35">
      <c r="A14" s="92" t="s">
        <v>43</v>
      </c>
      <c r="B14" s="119">
        <v>34.770000000000003</v>
      </c>
      <c r="C14" s="119">
        <v>28.35</v>
      </c>
      <c r="D14" s="119">
        <v>48.64</v>
      </c>
      <c r="E14" s="119">
        <v>65.87</v>
      </c>
      <c r="F14" s="119">
        <v>69.02</v>
      </c>
    </row>
    <row r="15" spans="1:6" ht="17.100000000000001" customHeight="1" x14ac:dyDescent="0.35">
      <c r="A15" s="92" t="s">
        <v>449</v>
      </c>
      <c r="B15" s="119">
        <v>5.69</v>
      </c>
      <c r="C15" s="119">
        <v>7.24</v>
      </c>
      <c r="D15" s="119">
        <v>9.66</v>
      </c>
      <c r="E15" s="119">
        <v>14.63</v>
      </c>
      <c r="F15" s="119">
        <v>17.3</v>
      </c>
    </row>
    <row r="16" spans="1:6" ht="17.100000000000001" customHeight="1" x14ac:dyDescent="0.35">
      <c r="A16" s="92" t="s">
        <v>66</v>
      </c>
      <c r="B16" s="119">
        <v>16.39</v>
      </c>
      <c r="C16" s="119">
        <v>17.78</v>
      </c>
      <c r="D16" s="119">
        <v>23.9</v>
      </c>
      <c r="E16" s="119">
        <v>32.159999999999997</v>
      </c>
      <c r="F16" s="119">
        <v>28.2</v>
      </c>
    </row>
    <row r="17" spans="1:6" ht="17.100000000000001" customHeight="1" x14ac:dyDescent="0.35">
      <c r="A17" s="92"/>
      <c r="B17" s="119"/>
      <c r="C17" s="119"/>
      <c r="D17" s="119"/>
      <c r="E17" s="119"/>
      <c r="F17" s="119"/>
    </row>
    <row r="18" spans="1:6" ht="17.100000000000001" customHeight="1" x14ac:dyDescent="0.35">
      <c r="A18" s="92" t="s">
        <v>80</v>
      </c>
      <c r="B18" s="119">
        <v>500</v>
      </c>
      <c r="C18" s="119">
        <v>963</v>
      </c>
      <c r="D18" s="119">
        <v>1466.1</v>
      </c>
      <c r="E18" s="119">
        <v>1960.5</v>
      </c>
      <c r="F18" s="119">
        <v>2238.3000000000002</v>
      </c>
    </row>
    <row r="19" spans="1:6" ht="17.100000000000001" customHeight="1" x14ac:dyDescent="0.35">
      <c r="A19" s="92" t="s">
        <v>82</v>
      </c>
      <c r="B19" s="119">
        <v>380</v>
      </c>
      <c r="C19" s="119">
        <v>735.3</v>
      </c>
      <c r="D19" s="119">
        <v>1144.4000000000001</v>
      </c>
      <c r="E19" s="119">
        <v>1540.7</v>
      </c>
      <c r="F19" s="119">
        <v>1685.3</v>
      </c>
    </row>
    <row r="20" spans="1:6" ht="17.100000000000001" customHeight="1" x14ac:dyDescent="0.35">
      <c r="A20" s="92" t="s">
        <v>88</v>
      </c>
      <c r="B20" s="119">
        <v>488</v>
      </c>
      <c r="C20" s="119">
        <v>1499</v>
      </c>
      <c r="D20" s="119">
        <v>1595.2</v>
      </c>
      <c r="E20" s="119">
        <v>988.72</v>
      </c>
      <c r="F20" s="119">
        <v>1522.9</v>
      </c>
    </row>
    <row r="21" spans="1:6" ht="17.100000000000001" customHeight="1" x14ac:dyDescent="0.35">
      <c r="A21" s="92" t="s">
        <v>91</v>
      </c>
      <c r="B21" s="119"/>
      <c r="C21" s="119">
        <v>4183</v>
      </c>
      <c r="D21" s="119">
        <v>4335</v>
      </c>
      <c r="E21" s="119">
        <v>5250</v>
      </c>
      <c r="F21" s="131">
        <v>5002</v>
      </c>
    </row>
    <row r="22" spans="1:6" ht="17.100000000000001" customHeight="1" x14ac:dyDescent="0.35">
      <c r="A22" s="92" t="s">
        <v>92</v>
      </c>
      <c r="B22" s="119"/>
      <c r="C22" s="119">
        <v>530</v>
      </c>
      <c r="D22" s="119">
        <v>579.4</v>
      </c>
      <c r="E22" s="119">
        <v>699.2</v>
      </c>
      <c r="F22" s="119">
        <v>799</v>
      </c>
    </row>
    <row r="23" spans="1:6" ht="17.100000000000001" customHeight="1" x14ac:dyDescent="0.35">
      <c r="A23" s="92" t="s">
        <v>417</v>
      </c>
      <c r="B23" s="119">
        <v>26.58</v>
      </c>
      <c r="C23" s="119">
        <v>35.36</v>
      </c>
      <c r="D23" s="119">
        <v>46.66</v>
      </c>
      <c r="E23" s="119">
        <v>65.45</v>
      </c>
      <c r="F23" s="119">
        <v>68.52</v>
      </c>
    </row>
    <row r="24" spans="1:6" ht="17.100000000000001" customHeight="1" x14ac:dyDescent="0.35">
      <c r="A24" s="92" t="s">
        <v>418</v>
      </c>
      <c r="B24" s="119">
        <f>B23-B26</f>
        <v>-5.4500000000000028</v>
      </c>
      <c r="C24" s="119">
        <f t="shared" ref="C24:D24" si="0">C23-C26</f>
        <v>10.59</v>
      </c>
      <c r="D24" s="119">
        <f t="shared" si="0"/>
        <v>2.5899999999999963</v>
      </c>
      <c r="E24" s="119">
        <f>E23-E26</f>
        <v>6.720000000000006</v>
      </c>
      <c r="F24" s="119">
        <f>F23-F26</f>
        <v>6.3799999999999955</v>
      </c>
    </row>
    <row r="25" spans="1:6" ht="17.100000000000001" customHeight="1" x14ac:dyDescent="0.35">
      <c r="A25" s="92" t="s">
        <v>423</v>
      </c>
      <c r="B25" s="119"/>
      <c r="C25" s="119">
        <v>2.76</v>
      </c>
      <c r="D25" s="119">
        <v>5.45</v>
      </c>
      <c r="E25" s="119">
        <v>7.52</v>
      </c>
      <c r="F25" s="119">
        <v>7.06</v>
      </c>
    </row>
    <row r="26" spans="1:6" ht="17.100000000000001" customHeight="1" x14ac:dyDescent="0.35">
      <c r="A26" s="92" t="s">
        <v>44</v>
      </c>
      <c r="B26" s="119">
        <v>32.03</v>
      </c>
      <c r="C26" s="119">
        <v>24.77</v>
      </c>
      <c r="D26" s="119">
        <v>44.07</v>
      </c>
      <c r="E26" s="119">
        <v>58.73</v>
      </c>
      <c r="F26" s="119">
        <v>62.14</v>
      </c>
    </row>
    <row r="27" spans="1:6" ht="17.100000000000001" customHeight="1" x14ac:dyDescent="0.35">
      <c r="A27" s="92" t="s">
        <v>216</v>
      </c>
      <c r="B27" s="119">
        <v>73.86</v>
      </c>
      <c r="C27" s="119">
        <v>80.72</v>
      </c>
      <c r="D27" s="119">
        <v>97.28</v>
      </c>
      <c r="E27" s="119">
        <v>122.8</v>
      </c>
      <c r="F27" s="119">
        <v>146.37</v>
      </c>
    </row>
    <row r="28" spans="1:6" ht="17.100000000000001" customHeight="1" x14ac:dyDescent="0.35">
      <c r="A28" s="92" t="s">
        <v>412</v>
      </c>
      <c r="B28" s="119"/>
      <c r="C28" s="119">
        <f>C26+B27</f>
        <v>98.63</v>
      </c>
      <c r="D28" s="119">
        <f t="shared" ref="D28" si="1">D26+C27</f>
        <v>124.78999999999999</v>
      </c>
      <c r="E28" s="119">
        <f>E26+D27</f>
        <v>156.01</v>
      </c>
      <c r="F28" s="119">
        <f>F26+E27</f>
        <v>184.94</v>
      </c>
    </row>
    <row r="29" spans="1:6" ht="17.100000000000001" customHeight="1" x14ac:dyDescent="0.35">
      <c r="A29" s="92" t="s">
        <v>411</v>
      </c>
      <c r="B29" s="119"/>
      <c r="C29" s="119">
        <f>C28-C27</f>
        <v>17.909999999999997</v>
      </c>
      <c r="D29" s="119">
        <f t="shared" ref="D29:E29" si="2">D28-D27</f>
        <v>27.509999999999991</v>
      </c>
      <c r="E29" s="119">
        <f t="shared" si="2"/>
        <v>33.209999999999994</v>
      </c>
      <c r="F29" s="119">
        <f>F28-F27</f>
        <v>38.569999999999993</v>
      </c>
    </row>
    <row r="30" spans="1:6" ht="17.100000000000001" customHeight="1" x14ac:dyDescent="0.2"/>
    <row r="31" spans="1:6" ht="17.100000000000001" customHeight="1" x14ac:dyDescent="0.35">
      <c r="A31" s="92" t="s">
        <v>445</v>
      </c>
      <c r="F31" s="119">
        <v>1.04</v>
      </c>
    </row>
    <row r="32" spans="1:6" ht="17.100000000000001" customHeight="1" x14ac:dyDescent="0.35">
      <c r="A32" s="92" t="s">
        <v>446</v>
      </c>
      <c r="F32" s="126">
        <v>0.97270000000000001</v>
      </c>
    </row>
    <row r="33" spans="1:6" ht="17.100000000000001" customHeight="1" x14ac:dyDescent="0.35">
      <c r="A33" s="92" t="s">
        <v>447</v>
      </c>
      <c r="F33" s="126">
        <v>0.79759999999999998</v>
      </c>
    </row>
    <row r="34" spans="1:6" ht="17.100000000000001" customHeight="1" x14ac:dyDescent="0.35">
      <c r="A34" s="92" t="s">
        <v>448</v>
      </c>
      <c r="F34" s="126">
        <v>0.86539999999999995</v>
      </c>
    </row>
  </sheetData>
  <phoneticPr fontId="1" type="noConversion"/>
  <pageMargins left="0.7" right="0.7" top="0.75" bottom="0.75" header="0.3" footer="0.3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4"/>
  <sheetViews>
    <sheetView workbookViewId="0">
      <selection activeCell="F32" sqref="F32"/>
    </sheetView>
  </sheetViews>
  <sheetFormatPr defaultRowHeight="14.25" x14ac:dyDescent="0.2"/>
  <cols>
    <col min="1" max="1" width="22.125" style="2" customWidth="1"/>
    <col min="2" max="2" width="10" style="11" customWidth="1"/>
    <col min="3" max="4" width="9.5" style="11" customWidth="1"/>
    <col min="5" max="5" width="8.125" style="3" customWidth="1"/>
    <col min="6" max="6" width="6.875" style="11" customWidth="1"/>
    <col min="7" max="7" width="7.125" style="3" customWidth="1"/>
    <col min="8" max="9" width="9" style="3"/>
    <col min="10" max="10" width="8.875" style="3" customWidth="1"/>
    <col min="11" max="11" width="7.25" style="3" customWidth="1"/>
    <col min="12" max="12" width="10.5" style="3" customWidth="1"/>
    <col min="13" max="13" width="7.25" style="3" customWidth="1"/>
    <col min="14" max="14" width="10.25" style="3" customWidth="1"/>
    <col min="15" max="16" width="9" style="3" customWidth="1"/>
    <col min="17" max="17" width="11.125" style="3" customWidth="1"/>
    <col min="18" max="18" width="8.375" style="3" customWidth="1"/>
    <col min="19" max="19" width="8.875" style="3" customWidth="1"/>
    <col min="20" max="20" width="9" style="3" customWidth="1"/>
    <col min="21" max="21" width="5" style="3" customWidth="1"/>
    <col min="22" max="22" width="8.5" style="3" customWidth="1"/>
    <col min="23" max="16384" width="9" style="3"/>
  </cols>
  <sheetData>
    <row r="1" spans="1:5" x14ac:dyDescent="0.2">
      <c r="A1" s="6" t="s">
        <v>244</v>
      </c>
      <c r="B1" s="11" t="s">
        <v>245</v>
      </c>
      <c r="E1" s="11"/>
    </row>
    <row r="2" spans="1:5" x14ac:dyDescent="0.2">
      <c r="A2" s="9" t="s">
        <v>25</v>
      </c>
      <c r="B2" s="2" t="s">
        <v>4</v>
      </c>
      <c r="C2" s="2" t="s">
        <v>3</v>
      </c>
      <c r="D2" s="2" t="s">
        <v>2</v>
      </c>
      <c r="E2" s="2" t="s">
        <v>1</v>
      </c>
    </row>
    <row r="3" spans="1:5" x14ac:dyDescent="0.2">
      <c r="A3" s="6" t="s">
        <v>5</v>
      </c>
      <c r="B3" s="4">
        <v>0.27600000000000002</v>
      </c>
      <c r="C3" s="4">
        <v>0.32700000000000001</v>
      </c>
      <c r="D3" s="4">
        <v>0.316</v>
      </c>
      <c r="E3" s="4">
        <v>0.222</v>
      </c>
    </row>
    <row r="4" spans="1:5" x14ac:dyDescent="0.2">
      <c r="A4" s="10" t="s">
        <v>36</v>
      </c>
      <c r="B4" s="11">
        <v>101.83</v>
      </c>
      <c r="C4" s="11">
        <v>161.56</v>
      </c>
      <c r="D4" s="11">
        <v>196.49</v>
      </c>
      <c r="E4" s="11">
        <v>220.67</v>
      </c>
    </row>
    <row r="5" spans="1:5" x14ac:dyDescent="0.2">
      <c r="A5" s="10" t="s">
        <v>27</v>
      </c>
      <c r="B5" s="11">
        <v>19.12</v>
      </c>
      <c r="C5" s="11">
        <v>32.090000000000003</v>
      </c>
      <c r="D5" s="11">
        <v>43.05</v>
      </c>
      <c r="E5" s="11">
        <v>43.26</v>
      </c>
    </row>
    <row r="6" spans="1:5" x14ac:dyDescent="0.2">
      <c r="A6" s="6" t="s">
        <v>45</v>
      </c>
      <c r="E6" s="4">
        <f>1.6/15.66</f>
        <v>0.10217113665389528</v>
      </c>
    </row>
    <row r="7" spans="1:5" x14ac:dyDescent="0.2">
      <c r="A7" s="6" t="s">
        <v>6</v>
      </c>
      <c r="B7" s="3">
        <v>18.93</v>
      </c>
      <c r="C7" s="3">
        <v>32.86</v>
      </c>
      <c r="D7" s="3">
        <v>43.26</v>
      </c>
      <c r="E7" s="3">
        <v>48.25</v>
      </c>
    </row>
    <row r="8" spans="1:5" x14ac:dyDescent="0.2">
      <c r="A8" s="6" t="s">
        <v>7</v>
      </c>
      <c r="B8" s="3">
        <v>90.7</v>
      </c>
      <c r="C8" s="3">
        <v>166.01</v>
      </c>
      <c r="D8" s="3">
        <v>91.36</v>
      </c>
      <c r="E8" s="3">
        <v>122.55</v>
      </c>
    </row>
    <row r="9" spans="1:5" x14ac:dyDescent="0.2">
      <c r="A9" s="6" t="s">
        <v>8</v>
      </c>
      <c r="B9" s="3">
        <v>291.83999999999997</v>
      </c>
      <c r="C9" s="3">
        <v>329.08</v>
      </c>
      <c r="D9" s="3">
        <v>455.16</v>
      </c>
      <c r="E9" s="3">
        <v>463.85</v>
      </c>
    </row>
    <row r="10" spans="1:5" x14ac:dyDescent="0.2">
      <c r="A10" s="6" t="s">
        <v>43</v>
      </c>
      <c r="B10" s="3">
        <v>16.87</v>
      </c>
      <c r="C10" s="3">
        <v>26.76</v>
      </c>
      <c r="D10" s="3">
        <v>35.43</v>
      </c>
      <c r="E10" s="3">
        <v>31.11</v>
      </c>
    </row>
    <row r="11" spans="1:5" x14ac:dyDescent="0.2">
      <c r="A11" s="6" t="s">
        <v>44</v>
      </c>
      <c r="B11" s="3">
        <v>14.24</v>
      </c>
      <c r="C11" s="3">
        <v>26.76</v>
      </c>
      <c r="D11" s="3">
        <v>35.43</v>
      </c>
      <c r="E11" s="3">
        <v>31.11</v>
      </c>
    </row>
    <row r="12" spans="1:5" x14ac:dyDescent="0.2">
      <c r="A12" s="6" t="s">
        <v>9</v>
      </c>
      <c r="B12" s="4">
        <v>0.188</v>
      </c>
      <c r="C12" s="4">
        <v>0.19900000000000001</v>
      </c>
      <c r="D12" s="4">
        <v>0.219</v>
      </c>
    </row>
    <row r="13" spans="1:5" x14ac:dyDescent="0.2">
      <c r="A13" s="6" t="s">
        <v>10</v>
      </c>
      <c r="B13" s="5">
        <f>C13/1.5582</f>
        <v>506.99525093056087</v>
      </c>
      <c r="C13" s="3">
        <v>790</v>
      </c>
      <c r="D13" s="3">
        <v>1012.3</v>
      </c>
      <c r="E13" s="3">
        <v>1261.5999999999999</v>
      </c>
    </row>
    <row r="14" spans="1:5" x14ac:dyDescent="0.2">
      <c r="A14" s="6" t="s">
        <v>11</v>
      </c>
      <c r="B14" s="5">
        <f>C14/1.3189</f>
        <v>599.51474713776634</v>
      </c>
      <c r="C14" s="3">
        <v>790.7</v>
      </c>
      <c r="D14" s="3">
        <v>1002.3</v>
      </c>
      <c r="E14" s="3">
        <v>1111.4000000000001</v>
      </c>
    </row>
    <row r="15" spans="1:5" x14ac:dyDescent="0.2">
      <c r="A15" s="6" t="s">
        <v>23</v>
      </c>
      <c r="B15" s="8">
        <v>7080</v>
      </c>
      <c r="C15" s="3">
        <v>8139</v>
      </c>
      <c r="D15" s="3">
        <v>10100</v>
      </c>
      <c r="E15" s="3">
        <v>11351</v>
      </c>
    </row>
    <row r="16" spans="1:5" x14ac:dyDescent="0.2">
      <c r="A16" s="6" t="s">
        <v>12</v>
      </c>
      <c r="B16" s="3"/>
      <c r="C16" s="3">
        <v>1662</v>
      </c>
      <c r="D16" s="3">
        <v>1453</v>
      </c>
      <c r="E16" s="3">
        <v>944</v>
      </c>
    </row>
    <row r="17" spans="1:5" x14ac:dyDescent="0.2">
      <c r="A17" s="6" t="s">
        <v>13</v>
      </c>
      <c r="B17" s="3"/>
      <c r="C17" s="3">
        <v>57</v>
      </c>
      <c r="D17" s="3"/>
    </row>
    <row r="18" spans="1:5" x14ac:dyDescent="0.2">
      <c r="A18" s="6" t="s">
        <v>14</v>
      </c>
      <c r="B18" s="3"/>
      <c r="C18" s="3">
        <v>4507</v>
      </c>
      <c r="D18" s="3">
        <v>5263</v>
      </c>
      <c r="E18" s="3">
        <v>5398</v>
      </c>
    </row>
    <row r="19" spans="1:5" x14ac:dyDescent="0.2">
      <c r="A19" s="6" t="s">
        <v>19</v>
      </c>
      <c r="B19" s="3"/>
      <c r="C19" s="3">
        <v>2337</v>
      </c>
      <c r="D19" s="3"/>
    </row>
    <row r="20" spans="1:5" x14ac:dyDescent="0.2">
      <c r="A20" s="6" t="s">
        <v>20</v>
      </c>
      <c r="B20" s="3"/>
      <c r="C20" s="3" t="s">
        <v>22</v>
      </c>
      <c r="D20" s="3" t="s">
        <v>21</v>
      </c>
      <c r="E20" s="3" t="s">
        <v>24</v>
      </c>
    </row>
    <row r="21" spans="1:5" x14ac:dyDescent="0.2">
      <c r="A21" s="6" t="s">
        <v>15</v>
      </c>
      <c r="B21" s="3"/>
      <c r="C21" s="3">
        <v>173</v>
      </c>
      <c r="D21" s="3">
        <v>278</v>
      </c>
      <c r="E21" s="3">
        <v>321</v>
      </c>
    </row>
    <row r="22" spans="1:5" x14ac:dyDescent="0.2">
      <c r="A22" s="6" t="s">
        <v>16</v>
      </c>
      <c r="B22" s="3"/>
      <c r="C22" s="3">
        <v>32</v>
      </c>
      <c r="D22" s="3">
        <v>61</v>
      </c>
      <c r="E22" s="3">
        <v>89</v>
      </c>
    </row>
    <row r="23" spans="1:5" x14ac:dyDescent="0.2">
      <c r="A23" s="6" t="s">
        <v>17</v>
      </c>
      <c r="B23" s="3"/>
      <c r="C23" s="4">
        <v>5.91E-2</v>
      </c>
      <c r="D23" s="4">
        <v>5.8700000000000002E-2</v>
      </c>
      <c r="E23" s="4">
        <v>5.33E-2</v>
      </c>
    </row>
    <row r="24" spans="1:5" x14ac:dyDescent="0.2">
      <c r="A24" s="6" t="s">
        <v>18</v>
      </c>
      <c r="B24" s="4">
        <f>C24+22%</f>
        <v>1.194</v>
      </c>
      <c r="C24" s="4">
        <v>0.97399999999999998</v>
      </c>
      <c r="D24" s="4">
        <v>0.89</v>
      </c>
      <c r="E24" s="7">
        <v>0.79</v>
      </c>
    </row>
  </sheetData>
  <phoneticPr fontId="1" type="noConversion"/>
  <conditionalFormatting sqref="A14:XFD14">
    <cfRule type="colorScale" priority="2">
      <colorScale>
        <cfvo type="min"/>
        <cfvo type="max"/>
        <color rgb="FFFFEF9C"/>
        <color rgb="FF63BE7B"/>
      </colorScale>
    </cfRule>
  </conditionalFormatting>
  <conditionalFormatting sqref="A16:XFD16">
    <cfRule type="colorScale" priority="1">
      <colorScale>
        <cfvo type="min"/>
        <cfvo type="max"/>
        <color rgb="FF63BE7B"/>
        <color rgb="FFFFEF9C"/>
      </colorScale>
    </cfRule>
  </conditionalFormatting>
  <pageMargins left="0.7" right="0.7" top="0.75" bottom="0.75" header="0.3" footer="0.3"/>
  <pageSetup paperSize="0" orientation="portrait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6AD9E-4346-4D86-88AB-8FDF35F45CC7}">
  <dimension ref="A1:T30"/>
  <sheetViews>
    <sheetView workbookViewId="0">
      <pane ySplit="1" topLeftCell="A2" activePane="bottomLeft" state="frozen"/>
      <selection pane="bottomLeft" activeCell="G14" sqref="G14"/>
    </sheetView>
  </sheetViews>
  <sheetFormatPr defaultRowHeight="14.25" x14ac:dyDescent="0.2"/>
  <cols>
    <col min="1" max="1" width="24.125" style="37" customWidth="1"/>
    <col min="2" max="2" width="8.375" style="31" customWidth="1"/>
    <col min="3" max="3" width="9.125" style="31" customWidth="1"/>
    <col min="4" max="4" width="9" style="33" customWidth="1"/>
    <col min="5" max="5" width="8.125" style="31" customWidth="1"/>
    <col min="6" max="6" width="7.125" style="31" customWidth="1"/>
    <col min="7" max="7" width="7.75" style="31" customWidth="1"/>
    <col min="8" max="9" width="9" style="31"/>
    <col min="10" max="10" width="6" style="31" customWidth="1"/>
    <col min="11" max="11" width="6.75" style="31" customWidth="1"/>
    <col min="12" max="12" width="6.5" style="31" hidden="1" customWidth="1"/>
    <col min="13" max="13" width="8.5" style="31" hidden="1" customWidth="1"/>
    <col min="14" max="14" width="11.875" style="31" customWidth="1"/>
    <col min="15" max="15" width="8.625" style="31" customWidth="1"/>
    <col min="16" max="16" width="7.5" style="31" customWidth="1"/>
    <col min="17" max="17" width="9" style="31" customWidth="1"/>
    <col min="18" max="18" width="6.75" style="31" customWidth="1"/>
    <col min="19" max="19" width="9" style="31" customWidth="1"/>
    <col min="20" max="20" width="9" style="31" hidden="1" customWidth="1"/>
    <col min="21" max="21" width="7.375" style="31" customWidth="1"/>
    <col min="22" max="22" width="8.5" style="31" customWidth="1"/>
    <col min="23" max="24" width="8.375" style="31" customWidth="1"/>
    <col min="25" max="25" width="6.75" style="31" customWidth="1"/>
    <col min="26" max="26" width="7.125" style="31" customWidth="1"/>
    <col min="27" max="27" width="6.5" style="31" customWidth="1"/>
    <col min="28" max="28" width="5" style="31" customWidth="1"/>
    <col min="29" max="29" width="6.375" style="31" customWidth="1"/>
    <col min="30" max="16384" width="9" style="31"/>
  </cols>
  <sheetData>
    <row r="1" spans="1:5" s="28" customFormat="1" x14ac:dyDescent="0.2">
      <c r="A1" s="27" t="s">
        <v>26</v>
      </c>
      <c r="B1" s="28" t="s">
        <v>4</v>
      </c>
      <c r="C1" s="28" t="s">
        <v>3</v>
      </c>
      <c r="D1" s="28" t="s">
        <v>2</v>
      </c>
      <c r="E1" s="28" t="s">
        <v>1</v>
      </c>
    </row>
    <row r="2" spans="1:5" x14ac:dyDescent="0.2">
      <c r="A2" s="29" t="s">
        <v>5</v>
      </c>
      <c r="B2" s="30"/>
      <c r="C2" s="30">
        <v>0.21299999999999999</v>
      </c>
      <c r="D2" s="30">
        <v>0.248</v>
      </c>
      <c r="E2" s="30">
        <v>0.23499999999999999</v>
      </c>
    </row>
    <row r="3" spans="1:5" x14ac:dyDescent="0.2">
      <c r="A3" s="32" t="s">
        <v>36</v>
      </c>
      <c r="B3" s="33"/>
      <c r="C3" s="33">
        <v>275.74</v>
      </c>
      <c r="D3" s="33">
        <v>276.45</v>
      </c>
      <c r="E3" s="33">
        <v>322.23</v>
      </c>
    </row>
    <row r="4" spans="1:5" x14ac:dyDescent="0.2">
      <c r="A4" s="29" t="s">
        <v>27</v>
      </c>
      <c r="B4" s="31">
        <v>21.9</v>
      </c>
      <c r="C4" s="31">
        <v>10.029999999999999</v>
      </c>
      <c r="D4" s="31">
        <v>24.8</v>
      </c>
      <c r="E4" s="31">
        <v>37.96</v>
      </c>
    </row>
    <row r="5" spans="1:5" x14ac:dyDescent="0.2">
      <c r="A5" s="29" t="s">
        <v>46</v>
      </c>
      <c r="D5" s="31"/>
      <c r="E5" s="31">
        <v>0.35</v>
      </c>
    </row>
    <row r="6" spans="1:5" x14ac:dyDescent="0.2">
      <c r="A6" s="29" t="s">
        <v>45</v>
      </c>
      <c r="D6" s="31"/>
      <c r="E6" s="30">
        <f>0.35/9.67</f>
        <v>3.6194415718717683E-2</v>
      </c>
    </row>
    <row r="7" spans="1:5" x14ac:dyDescent="0.2">
      <c r="A7" s="29" t="s">
        <v>35</v>
      </c>
      <c r="C7" s="31">
        <v>814.58</v>
      </c>
      <c r="D7" s="31">
        <v>955.77</v>
      </c>
      <c r="E7" s="31">
        <v>1192.02</v>
      </c>
    </row>
    <row r="8" spans="1:5" x14ac:dyDescent="0.2">
      <c r="A8" s="29" t="s">
        <v>7</v>
      </c>
      <c r="C8" s="31">
        <v>174.8</v>
      </c>
      <c r="D8" s="34">
        <f>D7*0.366</f>
        <v>349.81182000000001</v>
      </c>
      <c r="E8" s="31">
        <v>325.14999999999998</v>
      </c>
    </row>
    <row r="9" spans="1:5" x14ac:dyDescent="0.2">
      <c r="A9" s="29" t="s">
        <v>8</v>
      </c>
      <c r="C9" s="34">
        <f>C7-C8</f>
        <v>639.78</v>
      </c>
      <c r="D9" s="34">
        <f>D7-D8</f>
        <v>605.95817999999997</v>
      </c>
      <c r="E9" s="34">
        <f>E7-E8</f>
        <v>866.87</v>
      </c>
    </row>
    <row r="10" spans="1:5" x14ac:dyDescent="0.2">
      <c r="A10" s="29" t="s">
        <v>43</v>
      </c>
      <c r="B10" s="31">
        <v>37.17</v>
      </c>
      <c r="C10" s="31">
        <v>54.16</v>
      </c>
      <c r="D10" s="34">
        <v>60.09</v>
      </c>
      <c r="E10" s="34">
        <v>77.98</v>
      </c>
    </row>
    <row r="11" spans="1:5" x14ac:dyDescent="0.2">
      <c r="A11" s="29" t="s">
        <v>44</v>
      </c>
      <c r="B11" s="31">
        <v>22.41</v>
      </c>
      <c r="C11" s="31">
        <v>38.64</v>
      </c>
      <c r="D11" s="34">
        <v>44.38</v>
      </c>
      <c r="E11" s="34">
        <v>55.69</v>
      </c>
    </row>
    <row r="12" spans="1:5" x14ac:dyDescent="0.2">
      <c r="A12" s="29" t="s">
        <v>10</v>
      </c>
      <c r="B12" s="34"/>
      <c r="C12" s="31">
        <v>1564</v>
      </c>
      <c r="D12" s="31">
        <v>2018</v>
      </c>
      <c r="E12" s="31">
        <v>2892</v>
      </c>
    </row>
    <row r="13" spans="1:5" x14ac:dyDescent="0.2">
      <c r="A13" s="29" t="s">
        <v>11</v>
      </c>
      <c r="B13" s="34"/>
      <c r="C13" s="31">
        <v>812</v>
      </c>
      <c r="D13" s="31">
        <v>1027</v>
      </c>
      <c r="E13" s="31">
        <v>1385</v>
      </c>
    </row>
    <row r="14" spans="1:5" x14ac:dyDescent="0.2">
      <c r="A14" s="29" t="s">
        <v>243</v>
      </c>
      <c r="B14" s="34"/>
      <c r="C14" s="31">
        <v>398</v>
      </c>
      <c r="D14" s="31">
        <v>522</v>
      </c>
      <c r="E14" s="31">
        <v>825</v>
      </c>
    </row>
    <row r="15" spans="1:5" x14ac:dyDescent="0.2">
      <c r="A15" s="29" t="s">
        <v>40</v>
      </c>
      <c r="B15" s="34"/>
      <c r="C15" s="31">
        <v>1012</v>
      </c>
      <c r="D15" s="31">
        <v>1354</v>
      </c>
      <c r="E15" s="31">
        <v>2147</v>
      </c>
    </row>
    <row r="16" spans="1:5" x14ac:dyDescent="0.2">
      <c r="A16" s="29" t="s">
        <v>42</v>
      </c>
      <c r="B16" s="34"/>
      <c r="C16" s="31">
        <v>557</v>
      </c>
      <c r="D16" s="31">
        <v>768</v>
      </c>
      <c r="E16" s="31">
        <v>1194</v>
      </c>
    </row>
    <row r="17" spans="1:5" x14ac:dyDescent="0.2">
      <c r="A17" s="29" t="s">
        <v>41</v>
      </c>
      <c r="B17" s="35">
        <v>23235</v>
      </c>
      <c r="C17" s="31">
        <v>25455</v>
      </c>
      <c r="D17" s="31">
        <v>25936</v>
      </c>
      <c r="E17" s="31">
        <v>26012</v>
      </c>
    </row>
    <row r="18" spans="1:5" x14ac:dyDescent="0.2">
      <c r="A18" s="29" t="s">
        <v>37</v>
      </c>
      <c r="B18" s="35"/>
      <c r="C18" s="36">
        <v>0.68</v>
      </c>
      <c r="D18" s="36">
        <v>0.68</v>
      </c>
      <c r="E18" s="36">
        <v>0.71</v>
      </c>
    </row>
    <row r="19" spans="1:5" x14ac:dyDescent="0.2">
      <c r="A19" s="29" t="s">
        <v>12</v>
      </c>
      <c r="C19" s="31">
        <v>719</v>
      </c>
      <c r="D19" s="31">
        <v>1236</v>
      </c>
      <c r="E19" s="31">
        <v>2041</v>
      </c>
    </row>
    <row r="20" spans="1:5" x14ac:dyDescent="0.2">
      <c r="A20" s="29" t="s">
        <v>28</v>
      </c>
      <c r="C20" s="31">
        <v>1276</v>
      </c>
      <c r="D20" s="31">
        <v>2057</v>
      </c>
      <c r="E20" s="31">
        <v>3288</v>
      </c>
    </row>
    <row r="21" spans="1:5" x14ac:dyDescent="0.2">
      <c r="A21" s="29" t="s">
        <v>30</v>
      </c>
      <c r="C21" s="31">
        <v>37</v>
      </c>
      <c r="D21" s="31">
        <v>54</v>
      </c>
      <c r="E21" s="31">
        <v>85</v>
      </c>
    </row>
    <row r="22" spans="1:5" x14ac:dyDescent="0.2">
      <c r="A22" s="29" t="s">
        <v>29</v>
      </c>
      <c r="C22" s="31">
        <v>11398</v>
      </c>
      <c r="D22" s="35">
        <v>6923</v>
      </c>
      <c r="E22" s="31">
        <v>7089</v>
      </c>
    </row>
    <row r="23" spans="1:5" x14ac:dyDescent="0.2">
      <c r="A23" s="29" t="s">
        <v>14</v>
      </c>
      <c r="C23" s="31">
        <v>3247</v>
      </c>
      <c r="D23" s="31">
        <v>3873</v>
      </c>
      <c r="E23" s="31">
        <v>5079</v>
      </c>
    </row>
    <row r="24" spans="1:5" x14ac:dyDescent="0.2">
      <c r="A24" s="29" t="s">
        <v>31</v>
      </c>
      <c r="C24" s="31">
        <v>2032</v>
      </c>
      <c r="D24" s="31">
        <v>2240</v>
      </c>
      <c r="E24" s="31">
        <v>2924</v>
      </c>
    </row>
    <row r="25" spans="1:5" x14ac:dyDescent="0.2">
      <c r="A25" s="29" t="s">
        <v>32</v>
      </c>
      <c r="C25" s="31">
        <v>2238</v>
      </c>
      <c r="D25" s="31">
        <v>2648</v>
      </c>
      <c r="E25" s="31">
        <v>3368</v>
      </c>
    </row>
    <row r="26" spans="1:5" x14ac:dyDescent="0.2">
      <c r="A26" s="29" t="s">
        <v>33</v>
      </c>
      <c r="C26" s="31">
        <v>1387</v>
      </c>
      <c r="D26" s="31">
        <v>1521</v>
      </c>
      <c r="E26" s="31">
        <v>1922</v>
      </c>
    </row>
    <row r="27" spans="1:5" x14ac:dyDescent="0.2">
      <c r="A27" s="29" t="s">
        <v>34</v>
      </c>
      <c r="C27" s="31">
        <v>5878</v>
      </c>
      <c r="D27" s="31">
        <v>6119</v>
      </c>
      <c r="E27" s="31">
        <v>6562</v>
      </c>
    </row>
    <row r="28" spans="1:5" x14ac:dyDescent="0.2">
      <c r="A28" s="29" t="s">
        <v>15</v>
      </c>
      <c r="C28" s="31">
        <v>112</v>
      </c>
      <c r="D28" s="31">
        <v>142</v>
      </c>
      <c r="E28" s="31">
        <v>194</v>
      </c>
    </row>
    <row r="29" spans="1:5" x14ac:dyDescent="0.2">
      <c r="A29" s="29" t="s">
        <v>17</v>
      </c>
      <c r="B29" s="30">
        <v>5.3999999999999999E-2</v>
      </c>
      <c r="C29" s="30">
        <v>5.3999999999999999E-2</v>
      </c>
      <c r="D29" s="30">
        <v>5.2999999999999999E-2</v>
      </c>
      <c r="E29" s="30">
        <v>4.9000000000000002E-2</v>
      </c>
    </row>
    <row r="30" spans="1:5" x14ac:dyDescent="0.2">
      <c r="A30" s="29" t="s">
        <v>18</v>
      </c>
      <c r="B30" s="30"/>
      <c r="C30" s="30">
        <v>0.55300000000000005</v>
      </c>
      <c r="D30" s="30">
        <v>0.63200000000000001</v>
      </c>
      <c r="E30" s="36">
        <v>0.63800000000000001</v>
      </c>
    </row>
  </sheetData>
  <phoneticPr fontId="1" type="noConversion"/>
  <conditionalFormatting sqref="A7:XFD7">
    <cfRule type="colorScale" priority="4">
      <colorScale>
        <cfvo type="min"/>
        <cfvo type="max"/>
        <color rgb="FFFCFCFF"/>
        <color rgb="FFF8696B"/>
      </colorScale>
    </cfRule>
  </conditionalFormatting>
  <conditionalFormatting sqref="A13:XFD13">
    <cfRule type="colorScale" priority="3">
      <colorScale>
        <cfvo type="min"/>
        <cfvo type="max"/>
        <color rgb="FFFFEF9C"/>
        <color rgb="FF63BE7B"/>
      </colorScale>
    </cfRule>
  </conditionalFormatting>
  <conditionalFormatting sqref="A19:XFD19">
    <cfRule type="colorScale" priority="2">
      <colorScale>
        <cfvo type="min"/>
        <cfvo type="max"/>
        <color rgb="FFFFEF9C"/>
        <color rgb="FF63BE7B"/>
      </colorScale>
    </cfRule>
  </conditionalFormatting>
  <conditionalFormatting sqref="A27:XFD27">
    <cfRule type="colorScale" priority="1">
      <colorScale>
        <cfvo type="min"/>
        <cfvo type="max"/>
        <color rgb="FF63BE7B"/>
        <color rgb="FFFFEF9C"/>
      </colorScale>
    </cfRule>
  </conditionalFormatting>
  <pageMargins left="0.7" right="0.7" top="0.75" bottom="0.75" header="0.3" footer="0.3"/>
  <pageSetup paperSize="0" orientation="portrait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0B9B8-280B-464D-A4A9-173D0C834CF5}">
  <dimension ref="A1:E30"/>
  <sheetViews>
    <sheetView workbookViewId="0">
      <selection activeCell="C15" sqref="C15"/>
    </sheetView>
  </sheetViews>
  <sheetFormatPr defaultRowHeight="14.25" x14ac:dyDescent="0.2"/>
  <cols>
    <col min="1" max="1" width="23.75" customWidth="1"/>
    <col min="2" max="3" width="8.125" customWidth="1"/>
    <col min="4" max="4" width="8.5" customWidth="1"/>
    <col min="5" max="5" width="8.25" customWidth="1"/>
    <col min="6" max="6" width="7.5" customWidth="1"/>
    <col min="8" max="11" width="9" customWidth="1"/>
    <col min="15" max="15" width="6.625" customWidth="1"/>
    <col min="16" max="27" width="9" customWidth="1"/>
    <col min="29" max="29" width="7.125" customWidth="1"/>
    <col min="30" max="30" width="10" customWidth="1"/>
  </cols>
  <sheetData>
    <row r="1" spans="1:5" x14ac:dyDescent="0.2">
      <c r="A1" s="9" t="s">
        <v>47</v>
      </c>
      <c r="B1" s="2" t="s">
        <v>4</v>
      </c>
      <c r="C1" s="2" t="s">
        <v>3</v>
      </c>
      <c r="D1" s="2" t="s">
        <v>2</v>
      </c>
      <c r="E1" t="s">
        <v>1</v>
      </c>
    </row>
    <row r="2" spans="1:5" x14ac:dyDescent="0.2">
      <c r="A2" s="6" t="s">
        <v>5</v>
      </c>
    </row>
    <row r="3" spans="1:5" x14ac:dyDescent="0.2">
      <c r="A3" s="10" t="s">
        <v>36</v>
      </c>
      <c r="B3">
        <v>936</v>
      </c>
      <c r="C3">
        <v>1213</v>
      </c>
      <c r="D3">
        <v>1519</v>
      </c>
      <c r="E3">
        <v>1751</v>
      </c>
    </row>
    <row r="4" spans="1:5" x14ac:dyDescent="0.2">
      <c r="A4" s="6" t="s">
        <v>27</v>
      </c>
      <c r="B4">
        <v>260.64</v>
      </c>
      <c r="C4">
        <v>346.18</v>
      </c>
      <c r="D4">
        <v>395.5</v>
      </c>
      <c r="E4">
        <v>350.22</v>
      </c>
    </row>
    <row r="5" spans="1:5" x14ac:dyDescent="0.2">
      <c r="A5" s="6" t="s">
        <v>46</v>
      </c>
      <c r="E5">
        <v>0.45529999999999998</v>
      </c>
    </row>
    <row r="6" spans="1:5" x14ac:dyDescent="0.2">
      <c r="A6" s="6" t="s">
        <v>45</v>
      </c>
      <c r="E6" s="1">
        <f>E5/9</f>
        <v>5.0588888888888885E-2</v>
      </c>
    </row>
    <row r="7" spans="1:5" x14ac:dyDescent="0.2">
      <c r="A7" s="6" t="s">
        <v>35</v>
      </c>
      <c r="B7">
        <v>2147</v>
      </c>
      <c r="C7">
        <v>3284</v>
      </c>
      <c r="D7">
        <v>3696</v>
      </c>
      <c r="E7">
        <v>3264.9</v>
      </c>
    </row>
    <row r="8" spans="1:5" x14ac:dyDescent="0.2">
      <c r="A8" s="6" t="s">
        <v>7</v>
      </c>
    </row>
    <row r="9" spans="1:5" x14ac:dyDescent="0.2">
      <c r="A9" s="6" t="s">
        <v>8</v>
      </c>
    </row>
    <row r="10" spans="1:5" x14ac:dyDescent="0.2">
      <c r="A10" s="6" t="s">
        <v>43</v>
      </c>
    </row>
    <row r="11" spans="1:5" x14ac:dyDescent="0.2">
      <c r="A11" s="6" t="s">
        <v>44</v>
      </c>
    </row>
    <row r="12" spans="1:5" x14ac:dyDescent="0.2">
      <c r="A12" s="6" t="s">
        <v>10</v>
      </c>
      <c r="C12">
        <v>5412.9</v>
      </c>
      <c r="D12" s="13">
        <f>E12/1.033</f>
        <v>5524.2981606969997</v>
      </c>
      <c r="E12">
        <v>5706.6</v>
      </c>
    </row>
    <row r="13" spans="1:5" x14ac:dyDescent="0.2">
      <c r="A13" s="6" t="s">
        <v>11</v>
      </c>
      <c r="D13" s="13">
        <f>E13/1.08</f>
        <v>6234.2592592592591</v>
      </c>
      <c r="E13">
        <v>6733</v>
      </c>
    </row>
    <row r="14" spans="1:5" x14ac:dyDescent="0.2">
      <c r="A14" s="6" t="s">
        <v>49</v>
      </c>
      <c r="C14">
        <v>5018.8</v>
      </c>
      <c r="D14">
        <v>5522</v>
      </c>
      <c r="E14">
        <v>5193</v>
      </c>
    </row>
    <row r="15" spans="1:5" x14ac:dyDescent="0.2">
      <c r="A15" s="6" t="s">
        <v>48</v>
      </c>
      <c r="E15" s="14">
        <v>0.91</v>
      </c>
    </row>
    <row r="16" spans="1:5" x14ac:dyDescent="0.2">
      <c r="A16" s="6" t="s">
        <v>23</v>
      </c>
    </row>
    <row r="17" spans="1:5" x14ac:dyDescent="0.2">
      <c r="A17" s="6" t="s">
        <v>37</v>
      </c>
    </row>
    <row r="18" spans="1:5" x14ac:dyDescent="0.2">
      <c r="A18" s="6" t="s">
        <v>12</v>
      </c>
    </row>
    <row r="19" spans="1:5" x14ac:dyDescent="0.2">
      <c r="A19" s="6" t="s">
        <v>28</v>
      </c>
    </row>
    <row r="20" spans="1:5" x14ac:dyDescent="0.2">
      <c r="A20" s="6" t="s">
        <v>30</v>
      </c>
    </row>
    <row r="21" spans="1:5" x14ac:dyDescent="0.2">
      <c r="A21" s="6" t="s">
        <v>29</v>
      </c>
    </row>
    <row r="22" spans="1:5" x14ac:dyDescent="0.2">
      <c r="A22" s="6" t="s">
        <v>14</v>
      </c>
    </row>
    <row r="23" spans="1:5" x14ac:dyDescent="0.2">
      <c r="A23" s="6" t="s">
        <v>31</v>
      </c>
    </row>
    <row r="24" spans="1:5" x14ac:dyDescent="0.2">
      <c r="A24" s="6" t="s">
        <v>32</v>
      </c>
    </row>
    <row r="25" spans="1:5" x14ac:dyDescent="0.2">
      <c r="A25" s="6" t="s">
        <v>33</v>
      </c>
    </row>
    <row r="26" spans="1:5" x14ac:dyDescent="0.2">
      <c r="A26" s="6" t="s">
        <v>34</v>
      </c>
    </row>
    <row r="27" spans="1:5" x14ac:dyDescent="0.2">
      <c r="A27" s="6" t="s">
        <v>15</v>
      </c>
    </row>
    <row r="28" spans="1:5" x14ac:dyDescent="0.2">
      <c r="A28" s="6" t="s">
        <v>17</v>
      </c>
      <c r="D28" s="1">
        <f>E28+0.0078</f>
        <v>6.3399999999999998E-2</v>
      </c>
      <c r="E28" s="1">
        <v>5.5599999999999997E-2</v>
      </c>
    </row>
    <row r="29" spans="1:5" x14ac:dyDescent="0.2">
      <c r="A29" s="6" t="s">
        <v>50</v>
      </c>
      <c r="B29" s="14">
        <v>0.56999999999999995</v>
      </c>
      <c r="C29" s="1">
        <v>0.496</v>
      </c>
      <c r="D29" s="1">
        <v>0.46300000000000002</v>
      </c>
      <c r="E29" s="1">
        <v>0.55600000000000005</v>
      </c>
    </row>
    <row r="30" spans="1:5" x14ac:dyDescent="0.2">
      <c r="A30" s="15" t="s">
        <v>51</v>
      </c>
      <c r="C30">
        <f>240.6-2.2-62.2</f>
        <v>176.2</v>
      </c>
      <c r="D30">
        <f>258.6-3.7-82.6</f>
        <v>172.30000000000004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C5B70-0D9D-448E-916B-B2FFD85CA00D}">
  <dimension ref="A1:E40"/>
  <sheetViews>
    <sheetView workbookViewId="0">
      <selection activeCell="H17" sqref="H17"/>
    </sheetView>
  </sheetViews>
  <sheetFormatPr defaultRowHeight="14.25" x14ac:dyDescent="0.2"/>
  <cols>
    <col min="1" max="1" width="27.25" style="2" customWidth="1"/>
    <col min="2" max="2" width="9" style="3" customWidth="1"/>
    <col min="3" max="3" width="9.25" style="3" customWidth="1"/>
    <col min="4" max="4" width="8.75" style="3" customWidth="1"/>
    <col min="5" max="5" width="9" style="3" customWidth="1"/>
    <col min="6" max="16384" width="9" style="3"/>
  </cols>
  <sheetData>
    <row r="1" spans="1:5" s="18" customFormat="1" x14ac:dyDescent="0.2">
      <c r="A1" s="17" t="s">
        <v>103</v>
      </c>
      <c r="B1" s="18" t="s">
        <v>4</v>
      </c>
      <c r="C1" s="18" t="s">
        <v>3</v>
      </c>
      <c r="D1" s="18" t="s">
        <v>2</v>
      </c>
      <c r="E1" s="18" t="s">
        <v>1</v>
      </c>
    </row>
    <row r="2" spans="1:5" x14ac:dyDescent="0.2">
      <c r="A2" s="2" t="s">
        <v>121</v>
      </c>
      <c r="B2" s="3">
        <v>206.24</v>
      </c>
      <c r="C2" s="3">
        <v>304.93</v>
      </c>
      <c r="D2" s="3">
        <v>384.27</v>
      </c>
      <c r="E2" s="3">
        <v>505.91</v>
      </c>
    </row>
    <row r="3" spans="1:5" x14ac:dyDescent="0.2">
      <c r="A3" s="2" t="s">
        <v>124</v>
      </c>
      <c r="B3" s="4">
        <v>0.35170000000000001</v>
      </c>
      <c r="C3" s="4">
        <v>0.34289999999999998</v>
      </c>
      <c r="D3" s="4">
        <v>0.25600000000000001</v>
      </c>
      <c r="E3" s="4">
        <v>0.14910000000000001</v>
      </c>
    </row>
    <row r="4" spans="1:5" x14ac:dyDescent="0.2">
      <c r="A4" s="2" t="s">
        <v>125</v>
      </c>
      <c r="B4" s="4">
        <v>0.34420000000000001</v>
      </c>
      <c r="C4" s="4">
        <v>0.37109999999999999</v>
      </c>
      <c r="D4" s="4">
        <v>0.36959999999999998</v>
      </c>
      <c r="E4" s="4">
        <v>0.31580000000000003</v>
      </c>
    </row>
    <row r="5" spans="1:5" x14ac:dyDescent="0.2">
      <c r="A5" s="2" t="s">
        <v>126</v>
      </c>
      <c r="B5" s="4">
        <v>0.69499999999999995</v>
      </c>
      <c r="C5" s="4">
        <v>0.67759999999999998</v>
      </c>
      <c r="D5" s="4">
        <v>0.67559999999999998</v>
      </c>
      <c r="E5" s="4">
        <v>0.70760000000000001</v>
      </c>
    </row>
    <row r="6" spans="1:5" x14ac:dyDescent="0.2">
      <c r="B6" s="4"/>
      <c r="C6" s="4"/>
      <c r="D6" s="4"/>
      <c r="E6" s="4"/>
    </row>
    <row r="7" spans="1:5" x14ac:dyDescent="0.2">
      <c r="A7" s="2" t="s">
        <v>65</v>
      </c>
      <c r="B7" s="11">
        <v>17.760000000000002</v>
      </c>
      <c r="C7" s="11">
        <v>22.67</v>
      </c>
      <c r="D7" s="3">
        <v>43.72</v>
      </c>
      <c r="E7" s="5">
        <v>54.9</v>
      </c>
    </row>
    <row r="8" spans="1:5" x14ac:dyDescent="0.2">
      <c r="A8" s="2" t="s">
        <v>66</v>
      </c>
      <c r="B8" s="11">
        <v>19.829999999999998</v>
      </c>
      <c r="C8" s="11">
        <v>22.66</v>
      </c>
      <c r="D8" s="3">
        <v>38.200000000000003</v>
      </c>
      <c r="E8" s="5">
        <v>40.18</v>
      </c>
    </row>
    <row r="9" spans="1:5" x14ac:dyDescent="0.2">
      <c r="B9" s="11"/>
      <c r="C9" s="11"/>
      <c r="E9" s="5"/>
    </row>
    <row r="10" spans="1:5" x14ac:dyDescent="0.2">
      <c r="A10" s="2" t="s">
        <v>129</v>
      </c>
      <c r="B10" s="3">
        <v>21.6</v>
      </c>
      <c r="C10" s="11">
        <v>39.96</v>
      </c>
      <c r="D10" s="3">
        <v>55.95</v>
      </c>
      <c r="E10" s="5">
        <v>62.18</v>
      </c>
    </row>
    <row r="11" spans="1:5" x14ac:dyDescent="0.2">
      <c r="A11" s="2" t="s">
        <v>130</v>
      </c>
      <c r="C11" s="11">
        <v>53.6</v>
      </c>
      <c r="D11" s="3">
        <v>90.71</v>
      </c>
      <c r="E11" s="5">
        <v>59.87</v>
      </c>
    </row>
    <row r="12" spans="1:5" x14ac:dyDescent="0.2">
      <c r="A12" s="2" t="s">
        <v>44</v>
      </c>
      <c r="B12" s="3">
        <v>16.73</v>
      </c>
      <c r="C12" s="11">
        <v>88.5</v>
      </c>
      <c r="D12" s="3">
        <v>135.94999999999999</v>
      </c>
      <c r="E12" s="5">
        <v>109.67</v>
      </c>
    </row>
    <row r="13" spans="1:5" x14ac:dyDescent="0.2">
      <c r="A13" s="2" t="s">
        <v>17</v>
      </c>
      <c r="B13" s="4">
        <v>5.3199999999999997E-2</v>
      </c>
      <c r="C13" s="4">
        <v>6.4699999999999994E-2</v>
      </c>
      <c r="D13" s="4">
        <v>6.7299999999999999E-2</v>
      </c>
      <c r="E13" s="4">
        <v>6.7199999999999996E-2</v>
      </c>
    </row>
    <row r="14" spans="1:5" x14ac:dyDescent="0.2">
      <c r="B14" s="4"/>
      <c r="C14" s="4"/>
      <c r="D14" s="4"/>
      <c r="E14" s="4"/>
    </row>
    <row r="15" spans="1:5" x14ac:dyDescent="0.2">
      <c r="A15" s="2" t="s">
        <v>131</v>
      </c>
      <c r="D15" s="16">
        <v>105</v>
      </c>
      <c r="E15" s="16">
        <v>123</v>
      </c>
    </row>
    <row r="16" spans="1:5" x14ac:dyDescent="0.2">
      <c r="A16" s="2" t="s">
        <v>104</v>
      </c>
      <c r="D16" s="3">
        <v>12400</v>
      </c>
      <c r="E16" s="3">
        <v>14300</v>
      </c>
    </row>
    <row r="18" spans="1:5" s="22" customFormat="1" x14ac:dyDescent="0.2">
      <c r="A18" s="21" t="s">
        <v>120</v>
      </c>
    </row>
    <row r="19" spans="1:5" x14ac:dyDescent="0.2">
      <c r="A19" s="2" t="s">
        <v>105</v>
      </c>
      <c r="B19" s="3">
        <v>1264.72</v>
      </c>
      <c r="C19" s="3">
        <v>2210.98</v>
      </c>
      <c r="D19" s="3">
        <v>2708.01</v>
      </c>
      <c r="E19" s="3">
        <v>2509.63</v>
      </c>
    </row>
    <row r="20" spans="1:5" x14ac:dyDescent="0.2">
      <c r="A20" s="2" t="s">
        <v>106</v>
      </c>
      <c r="B20" s="3">
        <v>928.28</v>
      </c>
      <c r="C20" s="3">
        <v>1812.06</v>
      </c>
      <c r="D20" s="3">
        <v>2432</v>
      </c>
      <c r="E20" s="3">
        <v>2348.85</v>
      </c>
    </row>
    <row r="21" spans="1:5" x14ac:dyDescent="0.2">
      <c r="A21" s="2" t="s">
        <v>127</v>
      </c>
      <c r="B21" s="3">
        <v>537.37</v>
      </c>
      <c r="C21" s="3">
        <v>700.78</v>
      </c>
      <c r="D21" s="3">
        <v>1331.82</v>
      </c>
      <c r="E21" s="3">
        <v>2314.2199999999998</v>
      </c>
    </row>
    <row r="22" spans="1:5" x14ac:dyDescent="0.2">
      <c r="A22" s="2" t="s">
        <v>128</v>
      </c>
      <c r="B22" s="3">
        <v>507.78</v>
      </c>
      <c r="C22" s="3">
        <v>574.59</v>
      </c>
      <c r="D22" s="3">
        <v>1149.19</v>
      </c>
      <c r="E22" s="3">
        <v>2352.73</v>
      </c>
    </row>
    <row r="23" spans="1:5" x14ac:dyDescent="0.2">
      <c r="A23" s="2" t="s">
        <v>107</v>
      </c>
      <c r="B23" s="3">
        <v>122</v>
      </c>
      <c r="C23" s="3">
        <v>164</v>
      </c>
      <c r="D23" s="3">
        <v>72</v>
      </c>
      <c r="E23" s="3">
        <v>120</v>
      </c>
    </row>
    <row r="24" spans="1:5" x14ac:dyDescent="0.2">
      <c r="A24" s="2" t="s">
        <v>108</v>
      </c>
      <c r="B24" s="3">
        <v>2446.02</v>
      </c>
      <c r="C24" s="3">
        <f>4773.24-C28</f>
        <v>2832.7799999999997</v>
      </c>
      <c r="D24" s="3">
        <f>2508.47-D28</f>
        <v>1064.7199999999998</v>
      </c>
      <c r="E24" s="3">
        <f>4139.41-E28</f>
        <v>1660.4899999999998</v>
      </c>
    </row>
    <row r="25" spans="1:5" x14ac:dyDescent="0.2">
      <c r="A25" s="2" t="s">
        <v>109</v>
      </c>
      <c r="B25" s="3">
        <v>3175</v>
      </c>
      <c r="C25" s="3">
        <v>2330</v>
      </c>
      <c r="D25" s="3">
        <v>2421.48</v>
      </c>
      <c r="E25" s="3">
        <v>3031.11</v>
      </c>
    </row>
    <row r="27" spans="1:5" s="22" customFormat="1" x14ac:dyDescent="0.2">
      <c r="A27" s="21" t="s">
        <v>119</v>
      </c>
    </row>
    <row r="28" spans="1:5" x14ac:dyDescent="0.2">
      <c r="A28" s="2" t="s">
        <v>110</v>
      </c>
      <c r="B28" s="3">
        <v>946.77</v>
      </c>
      <c r="C28" s="3">
        <v>1940.46</v>
      </c>
      <c r="D28" s="3">
        <v>1443.75</v>
      </c>
      <c r="E28" s="3">
        <v>2478.92</v>
      </c>
    </row>
    <row r="29" spans="1:5" x14ac:dyDescent="0.2">
      <c r="A29" s="2" t="s">
        <v>111</v>
      </c>
      <c r="C29" s="3">
        <v>96</v>
      </c>
      <c r="D29" s="3">
        <v>122</v>
      </c>
      <c r="E29" s="3">
        <v>156</v>
      </c>
    </row>
    <row r="30" spans="1:5" x14ac:dyDescent="0.2">
      <c r="A30" s="2" t="s">
        <v>112</v>
      </c>
      <c r="B30" s="3">
        <v>12</v>
      </c>
      <c r="C30" s="3">
        <v>19</v>
      </c>
      <c r="D30" s="24">
        <v>21</v>
      </c>
      <c r="E30" s="3">
        <v>38</v>
      </c>
    </row>
    <row r="31" spans="1:5" ht="28.5" x14ac:dyDescent="0.2">
      <c r="A31" s="19" t="s">
        <v>113</v>
      </c>
      <c r="B31" s="23">
        <v>10.199999999999999</v>
      </c>
      <c r="C31" s="23">
        <v>21.16</v>
      </c>
      <c r="D31" s="23">
        <v>40.69</v>
      </c>
      <c r="E31" s="3">
        <v>56.7</v>
      </c>
    </row>
    <row r="32" spans="1:5" x14ac:dyDescent="0.2">
      <c r="A32" s="2" t="s">
        <v>114</v>
      </c>
      <c r="C32" s="3">
        <v>390.4</v>
      </c>
      <c r="D32" s="3">
        <v>590.62</v>
      </c>
      <c r="E32" s="3">
        <v>940</v>
      </c>
    </row>
    <row r="33" spans="1:5" x14ac:dyDescent="0.2">
      <c r="A33" s="2" t="s">
        <v>115</v>
      </c>
      <c r="B33" s="4">
        <v>0.97909999999999997</v>
      </c>
      <c r="C33" s="4">
        <v>0.98829999999999996</v>
      </c>
      <c r="D33" s="4">
        <v>0.99160000000000004</v>
      </c>
      <c r="E33" s="4">
        <v>0.99539999999999995</v>
      </c>
    </row>
    <row r="34" spans="1:5" x14ac:dyDescent="0.2">
      <c r="A34" s="2" t="s">
        <v>116</v>
      </c>
      <c r="B34" s="3">
        <v>2</v>
      </c>
      <c r="E34" s="3">
        <v>6.5</v>
      </c>
    </row>
    <row r="35" spans="1:5" x14ac:dyDescent="0.2">
      <c r="A35" s="2" t="s">
        <v>117</v>
      </c>
      <c r="E35" s="3">
        <v>319</v>
      </c>
    </row>
    <row r="36" spans="1:5" x14ac:dyDescent="0.2">
      <c r="A36" s="2" t="s">
        <v>118</v>
      </c>
      <c r="E36" s="3">
        <v>983</v>
      </c>
    </row>
    <row r="38" spans="1:5" x14ac:dyDescent="0.2">
      <c r="A38" s="2" t="s">
        <v>122</v>
      </c>
      <c r="E38" s="4">
        <v>0.74119999999999997</v>
      </c>
    </row>
    <row r="39" spans="1:5" x14ac:dyDescent="0.2">
      <c r="A39" s="2" t="s">
        <v>18</v>
      </c>
      <c r="E39" s="4">
        <v>0.4365</v>
      </c>
    </row>
    <row r="40" spans="1:5" x14ac:dyDescent="0.2">
      <c r="A40" s="2" t="s">
        <v>123</v>
      </c>
      <c r="E40" s="5">
        <v>1.68</v>
      </c>
    </row>
  </sheetData>
  <phoneticPr fontId="1" type="noConversion"/>
  <conditionalFormatting sqref="A24:XFD24">
    <cfRule type="colorScale" priority="4">
      <colorScale>
        <cfvo type="min"/>
        <cfvo type="max"/>
        <color rgb="FFFFEF9C"/>
        <color rgb="FF63BE7B"/>
      </colorScale>
    </cfRule>
  </conditionalFormatting>
  <conditionalFormatting sqref="A20:XFD20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0" orientation="portrait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A2AE8-B8BC-4E29-BFDF-86C6C64E118D}">
  <dimension ref="A1:E37"/>
  <sheetViews>
    <sheetView topLeftCell="A15" workbookViewId="0">
      <selection activeCell="A33" sqref="A33:XFD33"/>
    </sheetView>
  </sheetViews>
  <sheetFormatPr defaultRowHeight="14.25" x14ac:dyDescent="0.2"/>
  <cols>
    <col min="1" max="1" width="19.5" style="2" customWidth="1"/>
    <col min="2" max="16384" width="9" style="3"/>
  </cols>
  <sheetData>
    <row r="1" spans="1:5" s="18" customFormat="1" x14ac:dyDescent="0.2">
      <c r="A1" s="17" t="s">
        <v>219</v>
      </c>
      <c r="B1" s="18" t="s">
        <v>4</v>
      </c>
      <c r="C1" s="18" t="s">
        <v>3</v>
      </c>
      <c r="D1" s="18" t="s">
        <v>2</v>
      </c>
      <c r="E1" s="18" t="s">
        <v>1</v>
      </c>
    </row>
    <row r="2" spans="1:5" x14ac:dyDescent="0.2">
      <c r="A2" s="2" t="s">
        <v>36</v>
      </c>
      <c r="B2" s="3">
        <v>101.55</v>
      </c>
      <c r="C2" s="3">
        <v>118.72</v>
      </c>
      <c r="D2" s="3">
        <v>150.30000000000001</v>
      </c>
      <c r="E2" s="3">
        <v>185.53</v>
      </c>
    </row>
    <row r="3" spans="1:5" x14ac:dyDescent="0.2">
      <c r="A3" s="2" t="s">
        <v>220</v>
      </c>
      <c r="B3" s="3">
        <v>455.9</v>
      </c>
      <c r="C3" s="3">
        <v>912.8</v>
      </c>
      <c r="D3" s="3">
        <v>1180.5999999999999</v>
      </c>
      <c r="E3" s="3">
        <v>1330.1</v>
      </c>
    </row>
    <row r="4" spans="1:5" x14ac:dyDescent="0.2">
      <c r="A4" s="2" t="s">
        <v>239</v>
      </c>
      <c r="B4" s="3">
        <v>449</v>
      </c>
      <c r="C4" s="3">
        <v>886.3</v>
      </c>
      <c r="D4" s="3">
        <v>1168.5</v>
      </c>
      <c r="E4" s="3">
        <v>1288.22</v>
      </c>
    </row>
    <row r="5" spans="1:5" x14ac:dyDescent="0.2">
      <c r="A5" s="2" t="s">
        <v>242</v>
      </c>
      <c r="B5" s="3">
        <v>10158</v>
      </c>
      <c r="C5" s="3">
        <v>10300</v>
      </c>
      <c r="D5" s="8">
        <f>D3/D4*10000</f>
        <v>10103.551561831408</v>
      </c>
      <c r="E5" s="8">
        <f>E3/E4*10000</f>
        <v>10325.099750042695</v>
      </c>
    </row>
    <row r="6" spans="1:5" x14ac:dyDescent="0.2">
      <c r="A6" s="2" t="s">
        <v>65</v>
      </c>
      <c r="B6" s="3">
        <v>9.26</v>
      </c>
      <c r="C6" s="3">
        <v>14.32</v>
      </c>
      <c r="D6" s="3">
        <v>21.38</v>
      </c>
      <c r="E6" s="3">
        <v>25.31</v>
      </c>
    </row>
    <row r="7" spans="1:5" x14ac:dyDescent="0.2">
      <c r="A7" s="2" t="s">
        <v>66</v>
      </c>
      <c r="B7" s="3">
        <v>8</v>
      </c>
      <c r="C7" s="3">
        <v>17.36</v>
      </c>
      <c r="D7" s="3">
        <v>24.35</v>
      </c>
      <c r="E7" s="3">
        <v>33.299999999999997</v>
      </c>
    </row>
    <row r="8" spans="1:5" x14ac:dyDescent="0.2">
      <c r="A8" s="2" t="s">
        <v>221</v>
      </c>
      <c r="B8" s="3">
        <v>21.35</v>
      </c>
      <c r="C8" s="3">
        <v>39.76</v>
      </c>
      <c r="D8" s="3">
        <v>74.52</v>
      </c>
      <c r="E8" s="3">
        <v>82.9</v>
      </c>
    </row>
    <row r="9" spans="1:5" x14ac:dyDescent="0.2">
      <c r="A9" s="2" t="s">
        <v>44</v>
      </c>
      <c r="B9" s="3">
        <v>18.489999999999998</v>
      </c>
      <c r="C9" s="3">
        <v>35.159999999999997</v>
      </c>
      <c r="D9" s="3">
        <v>66.98</v>
      </c>
      <c r="E9" s="3">
        <v>72.150000000000006</v>
      </c>
    </row>
    <row r="10" spans="1:5" x14ac:dyDescent="0.2">
      <c r="A10" s="2" t="s">
        <v>241</v>
      </c>
      <c r="B10" s="4">
        <v>7.1999999999999995E-2</v>
      </c>
      <c r="C10" s="4">
        <v>7.3999999999999996E-2</v>
      </c>
    </row>
    <row r="11" spans="1:5" x14ac:dyDescent="0.2">
      <c r="A11" s="2" t="s">
        <v>222</v>
      </c>
      <c r="C11" s="3">
        <v>9.64</v>
      </c>
      <c r="D11" s="3">
        <v>14.8</v>
      </c>
      <c r="E11" s="5">
        <f>17.7928+2.96547</f>
        <v>20.75827</v>
      </c>
    </row>
    <row r="12" spans="1:5" x14ac:dyDescent="0.2">
      <c r="A12" s="2" t="s">
        <v>223</v>
      </c>
      <c r="E12" s="3" t="s">
        <v>224</v>
      </c>
    </row>
    <row r="13" spans="1:5" x14ac:dyDescent="0.2">
      <c r="A13" s="2" t="s">
        <v>238</v>
      </c>
      <c r="D13" s="3" t="s">
        <v>181</v>
      </c>
    </row>
    <row r="15" spans="1:5" x14ac:dyDescent="0.2">
      <c r="A15" s="2" t="s">
        <v>227</v>
      </c>
    </row>
    <row r="16" spans="1:5" x14ac:dyDescent="0.2">
      <c r="A16" s="2" t="s">
        <v>228</v>
      </c>
      <c r="D16" s="3">
        <v>1425</v>
      </c>
      <c r="E16" s="3">
        <v>4285</v>
      </c>
    </row>
    <row r="17" spans="1:5" x14ac:dyDescent="0.2">
      <c r="A17" s="2" t="s">
        <v>229</v>
      </c>
      <c r="D17" s="3">
        <v>845</v>
      </c>
      <c r="E17" s="3">
        <v>2246</v>
      </c>
    </row>
    <row r="18" spans="1:5" x14ac:dyDescent="0.2">
      <c r="A18" s="2" t="s">
        <v>230</v>
      </c>
      <c r="D18" s="3">
        <v>2260</v>
      </c>
      <c r="E18" s="3">
        <v>6730</v>
      </c>
    </row>
    <row r="20" spans="1:5" x14ac:dyDescent="0.2">
      <c r="A20" s="2" t="s">
        <v>30</v>
      </c>
      <c r="B20" s="3">
        <v>58</v>
      </c>
      <c r="D20" s="3">
        <v>87</v>
      </c>
    </row>
    <row r="21" spans="1:5" x14ac:dyDescent="0.2">
      <c r="A21" s="2" t="s">
        <v>225</v>
      </c>
      <c r="B21" s="3">
        <v>1286</v>
      </c>
      <c r="D21" s="3">
        <v>1609</v>
      </c>
      <c r="E21" s="3">
        <v>2015</v>
      </c>
    </row>
    <row r="22" spans="1:5" x14ac:dyDescent="0.2">
      <c r="A22" s="2" t="s">
        <v>226</v>
      </c>
      <c r="D22" s="3">
        <v>1861</v>
      </c>
      <c r="E22" s="3">
        <v>2426</v>
      </c>
    </row>
    <row r="23" spans="1:5" x14ac:dyDescent="0.2">
      <c r="A23" s="2" t="s">
        <v>231</v>
      </c>
      <c r="C23" s="3">
        <v>198</v>
      </c>
      <c r="D23" s="3">
        <v>280</v>
      </c>
      <c r="E23" s="3">
        <v>370</v>
      </c>
    </row>
    <row r="24" spans="1:5" x14ac:dyDescent="0.2">
      <c r="A24" s="2" t="s">
        <v>232</v>
      </c>
      <c r="B24" s="3">
        <v>2487</v>
      </c>
      <c r="C24" s="3">
        <v>3410</v>
      </c>
      <c r="D24" s="3">
        <v>4503</v>
      </c>
      <c r="E24" s="3">
        <v>5718</v>
      </c>
    </row>
    <row r="25" spans="1:5" x14ac:dyDescent="0.2">
      <c r="A25" s="2" t="s">
        <v>233</v>
      </c>
      <c r="C25" s="7">
        <v>0.8</v>
      </c>
      <c r="D25" s="7">
        <v>0.79</v>
      </c>
      <c r="E25" s="7">
        <v>0.71</v>
      </c>
    </row>
    <row r="26" spans="1:5" x14ac:dyDescent="0.2">
      <c r="A26" s="2" t="s">
        <v>235</v>
      </c>
      <c r="D26" s="3">
        <v>4585</v>
      </c>
      <c r="E26" s="3">
        <v>6208</v>
      </c>
    </row>
    <row r="27" spans="1:5" x14ac:dyDescent="0.2">
      <c r="A27" s="2" t="s">
        <v>240</v>
      </c>
      <c r="B27" s="3">
        <v>2131</v>
      </c>
      <c r="C27" s="3">
        <v>2167</v>
      </c>
    </row>
    <row r="28" spans="1:5" ht="28.5" x14ac:dyDescent="0.2">
      <c r="A28" s="19" t="s">
        <v>234</v>
      </c>
      <c r="D28" s="3">
        <v>6845</v>
      </c>
      <c r="E28" s="3">
        <v>12938</v>
      </c>
    </row>
    <row r="30" spans="1:5" x14ac:dyDescent="0.2">
      <c r="A30" s="2" t="s">
        <v>5</v>
      </c>
      <c r="B30" s="4">
        <v>0.26700000000000002</v>
      </c>
      <c r="C30" s="4">
        <v>0.311</v>
      </c>
      <c r="D30" s="4">
        <v>0.29699999999999999</v>
      </c>
      <c r="E30" s="4">
        <v>0.251</v>
      </c>
    </row>
    <row r="31" spans="1:5" x14ac:dyDescent="0.2">
      <c r="A31" s="2" t="s">
        <v>236</v>
      </c>
      <c r="B31" s="3">
        <v>7397</v>
      </c>
      <c r="C31" s="3">
        <v>9007</v>
      </c>
      <c r="D31" s="3">
        <v>9227</v>
      </c>
      <c r="E31" s="3">
        <v>9349</v>
      </c>
    </row>
    <row r="33" spans="1:5" x14ac:dyDescent="0.2">
      <c r="A33" s="2" t="s">
        <v>169</v>
      </c>
      <c r="B33" s="3">
        <v>403.7</v>
      </c>
      <c r="C33" s="3">
        <v>577.22</v>
      </c>
      <c r="D33" s="3">
        <v>957.64</v>
      </c>
      <c r="E33" s="3">
        <v>1148.73</v>
      </c>
    </row>
    <row r="34" spans="1:5" x14ac:dyDescent="0.2">
      <c r="A34" s="2" t="s">
        <v>170</v>
      </c>
      <c r="B34" s="3">
        <v>204.9</v>
      </c>
      <c r="C34" s="3">
        <v>237.32</v>
      </c>
      <c r="D34" s="3">
        <v>418.73</v>
      </c>
      <c r="E34" s="3">
        <v>522.66999999999996</v>
      </c>
    </row>
    <row r="35" spans="1:5" x14ac:dyDescent="0.2">
      <c r="A35" s="2" t="s">
        <v>18</v>
      </c>
      <c r="B35" s="7">
        <v>0.51</v>
      </c>
      <c r="C35" s="4">
        <v>0.58899999999999997</v>
      </c>
      <c r="D35" s="4">
        <v>0.749</v>
      </c>
      <c r="E35" s="4">
        <v>0.82699999999999996</v>
      </c>
    </row>
    <row r="37" spans="1:5" x14ac:dyDescent="0.2">
      <c r="A37" s="2" t="s">
        <v>237</v>
      </c>
      <c r="D37" s="3">
        <v>857.23</v>
      </c>
      <c r="E37" s="3">
        <v>1104.27</v>
      </c>
    </row>
  </sheetData>
  <phoneticPr fontId="1" type="noConversion"/>
  <conditionalFormatting sqref="A4:XFD4">
    <cfRule type="colorScale" priority="4">
      <colorScale>
        <cfvo type="min"/>
        <cfvo type="max"/>
        <color rgb="FFFFEF9C"/>
        <color rgb="FF63BE7B"/>
      </colorScale>
    </cfRule>
  </conditionalFormatting>
  <conditionalFormatting sqref="A21:XFD21">
    <cfRule type="colorScale" priority="3">
      <colorScale>
        <cfvo type="min"/>
        <cfvo type="max"/>
        <color rgb="FFFFEF9C"/>
        <color rgb="FF63BE7B"/>
      </colorScale>
    </cfRule>
  </conditionalFormatting>
  <conditionalFormatting sqref="A16:XFD16">
    <cfRule type="colorScale" priority="2">
      <colorScale>
        <cfvo type="min"/>
        <cfvo type="max"/>
        <color rgb="FFFFEF9C"/>
        <color rgb="FF63BE7B"/>
      </colorScale>
    </cfRule>
  </conditionalFormatting>
  <conditionalFormatting sqref="A34:XFD34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0" orientation="portrait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9FFEA-5B06-410E-872C-4377BB32804F}">
  <dimension ref="A1:F62"/>
  <sheetViews>
    <sheetView workbookViewId="0">
      <selection activeCell="G16" sqref="G16"/>
    </sheetView>
  </sheetViews>
  <sheetFormatPr defaultRowHeight="15" x14ac:dyDescent="0.2"/>
  <cols>
    <col min="1" max="1" width="23.25" style="137" customWidth="1"/>
    <col min="2" max="2" width="11.375" style="122" customWidth="1"/>
    <col min="3" max="3" width="11.5" style="122" customWidth="1"/>
    <col min="4" max="4" width="11.875" style="122" customWidth="1"/>
    <col min="5" max="5" width="11.125" style="122" customWidth="1"/>
    <col min="6" max="16384" width="9" style="122"/>
  </cols>
  <sheetData>
    <row r="1" spans="1:6" s="118" customFormat="1" ht="25.5" customHeight="1" x14ac:dyDescent="0.2">
      <c r="A1" s="118" t="s">
        <v>298</v>
      </c>
      <c r="B1" s="118" t="s">
        <v>4</v>
      </c>
      <c r="C1" s="118" t="s">
        <v>3</v>
      </c>
      <c r="D1" s="118" t="s">
        <v>2</v>
      </c>
      <c r="E1" s="118" t="s">
        <v>1</v>
      </c>
      <c r="F1" s="118" t="s">
        <v>468</v>
      </c>
    </row>
    <row r="2" spans="1:6" ht="16.5" x14ac:dyDescent="0.2">
      <c r="A2" s="120" t="s">
        <v>138</v>
      </c>
      <c r="B2" s="138"/>
      <c r="C2" s="138"/>
      <c r="D2" s="138"/>
      <c r="E2" s="138"/>
    </row>
    <row r="3" spans="1:6" ht="16.5" x14ac:dyDescent="0.2">
      <c r="A3" s="142" t="s">
        <v>299</v>
      </c>
      <c r="B3" s="138"/>
      <c r="C3" s="138"/>
      <c r="D3" s="138"/>
      <c r="E3" s="138"/>
    </row>
    <row r="4" spans="1:6" ht="16.5" x14ac:dyDescent="0.2">
      <c r="A4" s="142" t="s">
        <v>215</v>
      </c>
      <c r="B4" s="138"/>
      <c r="C4" s="138"/>
      <c r="D4" s="138"/>
      <c r="E4" s="138"/>
    </row>
    <row r="5" spans="1:6" ht="16.5" x14ac:dyDescent="0.2">
      <c r="A5" s="142" t="s">
        <v>210</v>
      </c>
      <c r="B5" s="138"/>
      <c r="C5" s="138"/>
      <c r="D5" s="138"/>
      <c r="E5" s="138"/>
    </row>
    <row r="6" spans="1:6" ht="16.5" x14ac:dyDescent="0.2">
      <c r="A6" s="142" t="s">
        <v>317</v>
      </c>
      <c r="B6" s="138"/>
      <c r="C6" s="138"/>
      <c r="D6" s="138"/>
      <c r="E6" s="138"/>
    </row>
    <row r="7" spans="1:6" ht="16.5" x14ac:dyDescent="0.2">
      <c r="A7" s="142"/>
      <c r="B7" s="138"/>
      <c r="C7" s="138"/>
      <c r="D7" s="138"/>
      <c r="E7" s="138"/>
    </row>
    <row r="8" spans="1:6" ht="16.5" x14ac:dyDescent="0.2">
      <c r="A8" s="142" t="s">
        <v>212</v>
      </c>
      <c r="B8" s="138"/>
      <c r="C8" s="138"/>
      <c r="D8" s="138"/>
      <c r="E8" s="138"/>
    </row>
    <row r="9" spans="1:6" ht="16.5" hidden="1" x14ac:dyDescent="0.2">
      <c r="A9" s="142" t="s">
        <v>304</v>
      </c>
      <c r="B9" s="138"/>
      <c r="C9" s="138"/>
      <c r="D9" s="138"/>
      <c r="E9" s="138"/>
    </row>
    <row r="10" spans="1:6" ht="16.5" hidden="1" x14ac:dyDescent="0.2">
      <c r="A10" s="142" t="s">
        <v>305</v>
      </c>
      <c r="B10" s="138"/>
      <c r="C10" s="138"/>
      <c r="D10" s="138"/>
      <c r="E10" s="138"/>
    </row>
    <row r="11" spans="1:6" ht="16.5" hidden="1" x14ac:dyDescent="0.2">
      <c r="A11" s="142" t="s">
        <v>306</v>
      </c>
      <c r="B11" s="138"/>
      <c r="C11" s="138"/>
      <c r="D11" s="138"/>
      <c r="E11" s="138"/>
    </row>
    <row r="12" spans="1:6" ht="16.5" hidden="1" x14ac:dyDescent="0.2">
      <c r="A12" s="142" t="s">
        <v>310</v>
      </c>
      <c r="B12" s="138"/>
      <c r="C12" s="138"/>
      <c r="D12" s="138"/>
      <c r="E12" s="138"/>
    </row>
    <row r="13" spans="1:6" ht="16.5" hidden="1" x14ac:dyDescent="0.2">
      <c r="A13" s="142" t="s">
        <v>311</v>
      </c>
      <c r="B13" s="138"/>
      <c r="C13" s="138"/>
      <c r="D13" s="138"/>
      <c r="E13" s="138"/>
    </row>
    <row r="14" spans="1:6" ht="16.5" x14ac:dyDescent="0.2">
      <c r="A14" s="142" t="s">
        <v>300</v>
      </c>
      <c r="B14" s="138"/>
      <c r="C14" s="138"/>
      <c r="D14" s="138"/>
      <c r="E14" s="138"/>
    </row>
    <row r="15" spans="1:6" ht="16.5" x14ac:dyDescent="0.2">
      <c r="A15" s="142" t="s">
        <v>301</v>
      </c>
      <c r="B15" s="138"/>
      <c r="C15" s="138"/>
      <c r="D15" s="138"/>
      <c r="E15" s="138"/>
    </row>
    <row r="16" spans="1:6" ht="16.5" x14ac:dyDescent="0.2">
      <c r="A16" s="142" t="s">
        <v>453</v>
      </c>
      <c r="B16" s="138"/>
      <c r="C16" s="138"/>
      <c r="D16" s="138"/>
      <c r="E16" s="138"/>
    </row>
    <row r="17" spans="1:5" ht="16.5" x14ac:dyDescent="0.2">
      <c r="A17" s="142" t="s">
        <v>454</v>
      </c>
      <c r="B17" s="138"/>
      <c r="C17" s="138"/>
      <c r="D17" s="138"/>
      <c r="E17" s="138"/>
    </row>
    <row r="18" spans="1:5" ht="16.5" x14ac:dyDescent="0.2">
      <c r="A18" s="142"/>
      <c r="B18" s="138"/>
      <c r="C18" s="138"/>
      <c r="D18" s="138"/>
      <c r="E18" s="138"/>
    </row>
    <row r="19" spans="1:5" ht="16.5" x14ac:dyDescent="0.2">
      <c r="A19" s="142" t="s">
        <v>302</v>
      </c>
      <c r="B19" s="138"/>
      <c r="C19" s="138"/>
      <c r="D19" s="138"/>
      <c r="E19" s="138"/>
    </row>
    <row r="20" spans="1:5" ht="16.5" x14ac:dyDescent="0.2">
      <c r="A20" s="142" t="s">
        <v>260</v>
      </c>
      <c r="B20" s="138"/>
      <c r="C20" s="138"/>
      <c r="D20" s="138"/>
      <c r="E20" s="138"/>
    </row>
    <row r="21" spans="1:5" ht="16.5" x14ac:dyDescent="0.2">
      <c r="A21" s="142" t="s">
        <v>303</v>
      </c>
      <c r="B21" s="138"/>
      <c r="C21" s="138"/>
      <c r="D21" s="138"/>
      <c r="E21" s="138"/>
    </row>
    <row r="22" spans="1:5" ht="16.5" x14ac:dyDescent="0.2">
      <c r="A22" s="142"/>
      <c r="B22" s="138"/>
      <c r="C22" s="138"/>
      <c r="D22" s="138"/>
      <c r="E22" s="138"/>
    </row>
    <row r="23" spans="1:5" ht="16.5" x14ac:dyDescent="0.2">
      <c r="A23" s="142" t="s">
        <v>312</v>
      </c>
      <c r="B23" s="139"/>
      <c r="C23" s="139"/>
      <c r="D23" s="138"/>
      <c r="E23" s="138"/>
    </row>
    <row r="24" spans="1:5" ht="16.5" x14ac:dyDescent="0.2">
      <c r="A24" s="142" t="s">
        <v>170</v>
      </c>
      <c r="B24" s="138"/>
      <c r="C24" s="138"/>
      <c r="D24" s="138"/>
      <c r="E24" s="138"/>
    </row>
    <row r="25" spans="1:5" ht="16.5" x14ac:dyDescent="0.2">
      <c r="A25" s="142" t="s">
        <v>171</v>
      </c>
      <c r="B25" s="138"/>
      <c r="C25" s="138"/>
      <c r="D25" s="138"/>
      <c r="E25" s="138"/>
    </row>
    <row r="26" spans="1:5" ht="16.5" x14ac:dyDescent="0.2">
      <c r="A26" s="142"/>
      <c r="B26" s="138"/>
      <c r="C26" s="138"/>
      <c r="D26" s="138"/>
      <c r="E26" s="138"/>
    </row>
    <row r="27" spans="1:5" ht="16.5" x14ac:dyDescent="0.2">
      <c r="A27" s="142" t="s">
        <v>313</v>
      </c>
      <c r="B27" s="138"/>
      <c r="C27" s="138"/>
      <c r="D27" s="138"/>
      <c r="E27" s="138"/>
    </row>
    <row r="28" spans="1:5" ht="16.5" x14ac:dyDescent="0.2">
      <c r="A28" s="142" t="s">
        <v>314</v>
      </c>
      <c r="B28" s="138"/>
      <c r="C28" s="138"/>
      <c r="D28" s="138"/>
      <c r="E28" s="138"/>
    </row>
    <row r="29" spans="1:5" ht="16.5" hidden="1" x14ac:dyDescent="0.2">
      <c r="A29" s="142" t="s">
        <v>322</v>
      </c>
      <c r="B29" s="140"/>
      <c r="C29" s="138"/>
      <c r="D29" s="138"/>
      <c r="E29" s="138"/>
    </row>
    <row r="30" spans="1:5" ht="16.5" x14ac:dyDescent="0.2">
      <c r="A30" s="142" t="s">
        <v>315</v>
      </c>
      <c r="B30" s="138"/>
      <c r="C30" s="138"/>
      <c r="D30" s="138"/>
      <c r="E30" s="138"/>
    </row>
    <row r="31" spans="1:5" ht="16.5" x14ac:dyDescent="0.2">
      <c r="A31" s="142" t="s">
        <v>316</v>
      </c>
      <c r="B31" s="138"/>
      <c r="C31" s="138"/>
      <c r="D31" s="138"/>
      <c r="E31" s="138"/>
    </row>
    <row r="32" spans="1:5" ht="16.5" x14ac:dyDescent="0.2">
      <c r="A32" s="142"/>
      <c r="B32" s="138"/>
      <c r="C32" s="138"/>
      <c r="D32" s="138"/>
      <c r="E32" s="138"/>
    </row>
    <row r="33" spans="1:5" s="125" customFormat="1" ht="16.5" x14ac:dyDescent="0.2">
      <c r="A33" s="143" t="s">
        <v>452</v>
      </c>
      <c r="B33" s="141"/>
      <c r="C33" s="141"/>
      <c r="D33" s="141"/>
      <c r="E33" s="141"/>
    </row>
    <row r="34" spans="1:5" ht="16.5" x14ac:dyDescent="0.2">
      <c r="A34" s="142" t="s">
        <v>208</v>
      </c>
      <c r="B34" s="140"/>
      <c r="C34" s="140"/>
      <c r="D34" s="140"/>
      <c r="E34" s="140"/>
    </row>
    <row r="35" spans="1:5" ht="16.5" x14ac:dyDescent="0.2">
      <c r="A35" s="142" t="s">
        <v>216</v>
      </c>
      <c r="B35" s="138"/>
      <c r="C35" s="138"/>
      <c r="D35" s="138"/>
      <c r="E35" s="138"/>
    </row>
    <row r="36" spans="1:5" ht="16.5" x14ac:dyDescent="0.2">
      <c r="A36" s="142" t="s">
        <v>65</v>
      </c>
      <c r="B36" s="138"/>
      <c r="C36" s="138"/>
      <c r="D36" s="138"/>
      <c r="E36" s="138"/>
    </row>
    <row r="37" spans="1:5" ht="16.5" x14ac:dyDescent="0.2">
      <c r="A37" s="142" t="s">
        <v>66</v>
      </c>
      <c r="B37" s="138"/>
      <c r="C37" s="138"/>
      <c r="D37" s="138"/>
      <c r="E37" s="138"/>
    </row>
    <row r="38" spans="1:5" ht="16.5" hidden="1" x14ac:dyDescent="0.2">
      <c r="A38" s="134"/>
    </row>
    <row r="39" spans="1:5" s="135" customFormat="1" ht="16.5" hidden="1" x14ac:dyDescent="0.2">
      <c r="A39" s="134" t="s">
        <v>307</v>
      </c>
    </row>
    <row r="40" spans="1:5" ht="16.5" hidden="1" x14ac:dyDescent="0.2">
      <c r="A40" s="134" t="s">
        <v>304</v>
      </c>
      <c r="D40" s="122">
        <v>116</v>
      </c>
    </row>
    <row r="41" spans="1:5" ht="16.5" hidden="1" x14ac:dyDescent="0.2">
      <c r="A41" s="134" t="s">
        <v>318</v>
      </c>
      <c r="C41" s="122">
        <v>36.01</v>
      </c>
      <c r="D41" s="122">
        <v>59.07</v>
      </c>
      <c r="E41" s="122">
        <v>57.29</v>
      </c>
    </row>
    <row r="42" spans="1:5" ht="16.5" hidden="1" x14ac:dyDescent="0.2">
      <c r="A42" s="134" t="s">
        <v>319</v>
      </c>
      <c r="B42" s="122">
        <v>47.61</v>
      </c>
      <c r="C42" s="122">
        <v>50.98</v>
      </c>
    </row>
    <row r="43" spans="1:5" ht="16.5" hidden="1" x14ac:dyDescent="0.2">
      <c r="A43" s="134" t="s">
        <v>309</v>
      </c>
      <c r="B43" s="122">
        <v>37.71</v>
      </c>
      <c r="C43" s="122">
        <v>40.770000000000003</v>
      </c>
    </row>
    <row r="44" spans="1:5" ht="16.5" hidden="1" x14ac:dyDescent="0.2">
      <c r="A44" s="134"/>
    </row>
    <row r="45" spans="1:5" s="135" customFormat="1" ht="16.5" hidden="1" x14ac:dyDescent="0.2">
      <c r="A45" s="134" t="s">
        <v>308</v>
      </c>
    </row>
    <row r="46" spans="1:5" ht="16.5" hidden="1" x14ac:dyDescent="0.2">
      <c r="A46" s="134" t="s">
        <v>309</v>
      </c>
      <c r="B46" s="122">
        <v>18.27</v>
      </c>
      <c r="C46" s="122">
        <v>35.619999999999997</v>
      </c>
      <c r="D46" s="122">
        <v>65.37</v>
      </c>
    </row>
    <row r="47" spans="1:5" ht="16.5" hidden="1" x14ac:dyDescent="0.2">
      <c r="A47" s="134"/>
    </row>
    <row r="48" spans="1:5" s="135" customFormat="1" ht="16.5" hidden="1" x14ac:dyDescent="0.2">
      <c r="A48" s="134" t="s">
        <v>320</v>
      </c>
    </row>
    <row r="49" spans="1:5" ht="16.5" hidden="1" x14ac:dyDescent="0.2">
      <c r="A49" s="134" t="s">
        <v>321</v>
      </c>
      <c r="C49" s="122">
        <v>175</v>
      </c>
      <c r="D49" s="122">
        <v>262</v>
      </c>
      <c r="E49" s="122">
        <v>271.18</v>
      </c>
    </row>
    <row r="50" spans="1:5" ht="16.5" x14ac:dyDescent="0.2">
      <c r="A50" s="134"/>
    </row>
    <row r="51" spans="1:5" ht="16.5" x14ac:dyDescent="0.2">
      <c r="A51" s="134"/>
    </row>
    <row r="52" spans="1:5" ht="16.5" x14ac:dyDescent="0.2">
      <c r="A52" s="134"/>
    </row>
    <row r="53" spans="1:5" ht="16.5" x14ac:dyDescent="0.2">
      <c r="A53" s="134"/>
    </row>
    <row r="54" spans="1:5" ht="16.5" x14ac:dyDescent="0.2">
      <c r="A54" s="134"/>
    </row>
    <row r="55" spans="1:5" ht="16.5" x14ac:dyDescent="0.2">
      <c r="A55" s="134"/>
    </row>
    <row r="56" spans="1:5" x14ac:dyDescent="0.2">
      <c r="A56" s="136"/>
    </row>
    <row r="57" spans="1:5" x14ac:dyDescent="0.2">
      <c r="A57" s="136"/>
    </row>
    <row r="58" spans="1:5" x14ac:dyDescent="0.2">
      <c r="A58" s="136"/>
    </row>
    <row r="59" spans="1:5" x14ac:dyDescent="0.2">
      <c r="A59" s="136"/>
    </row>
    <row r="60" spans="1:5" x14ac:dyDescent="0.2">
      <c r="A60" s="136"/>
    </row>
    <row r="61" spans="1:5" x14ac:dyDescent="0.2">
      <c r="A61" s="136"/>
    </row>
    <row r="62" spans="1:5" x14ac:dyDescent="0.2">
      <c r="A62" s="136"/>
    </row>
  </sheetData>
  <phoneticPr fontId="1" type="noConversion"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22</vt:i4>
      </vt:variant>
    </vt:vector>
  </HeadingPairs>
  <TitlesOfParts>
    <vt:vector size="22" baseType="lpstr">
      <vt:lpstr>全国房地产</vt:lpstr>
      <vt:lpstr>中梁控股</vt:lpstr>
      <vt:lpstr>中南建设</vt:lpstr>
      <vt:lpstr>美的置业</vt:lpstr>
      <vt:lpstr>绿城中国</vt:lpstr>
      <vt:lpstr>碧桂园</vt:lpstr>
      <vt:lpstr>新城控股</vt:lpstr>
      <vt:lpstr>中国奥园</vt:lpstr>
      <vt:lpstr>荣盛发展</vt:lpstr>
      <vt:lpstr>中国恒大</vt:lpstr>
      <vt:lpstr>融创中国</vt:lpstr>
      <vt:lpstr>万科</vt:lpstr>
      <vt:lpstr>保利地产</vt:lpstr>
      <vt:lpstr>龙湖地产</vt:lpstr>
      <vt:lpstr>旭辉控股</vt:lpstr>
      <vt:lpstr>阳光城</vt:lpstr>
      <vt:lpstr>金地集团</vt:lpstr>
      <vt:lpstr>华侨城</vt:lpstr>
      <vt:lpstr>金科股份</vt:lpstr>
      <vt:lpstr>蓝光发展</vt:lpstr>
      <vt:lpstr>备注</vt:lpstr>
      <vt:lpstr>通用模板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2015-06-05T18:19:34Z</dcterms:created>
  <dcterms:modified xsi:type="dcterms:W3CDTF">2021-08-25T19:41:09Z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07f3f50e-7755-4fcb-a1af-0feea6fb6302</vt:lpwstr>
  </property>
</Properties>
</file>