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2财报分析\"/>
    </mc:Choice>
  </mc:AlternateContent>
  <xr:revisionPtr revIDLastSave="0" documentId="13_ncr:1_{DB2B8667-11B9-4E5F-BD29-6FA466F5F98C}" xr6:coauthVersionLast="45" xr6:coauthVersionMax="45" xr10:uidLastSave="{00000000-0000-0000-0000-000000000000}"/>
  <bookViews>
    <workbookView xWindow="1380" yWindow="1020" windowWidth="24390" windowHeight="9345" tabRatio="919" firstSheet="5" activeTab="17" xr2:uid="{00000000-000D-0000-FFFF-FFFF00000000}"/>
  </bookViews>
  <sheets>
    <sheet name="全国房地产" sheetId="2" r:id="rId1"/>
    <sheet name="中梁控股" sheetId="28" r:id="rId2"/>
    <sheet name="美的置业" sheetId="1" r:id="rId3"/>
    <sheet name="绿城中国" sheetId="5" r:id="rId4"/>
    <sheet name="中国奥园" sheetId="19" r:id="rId5"/>
    <sheet name="中国恒大" sheetId="20" r:id="rId6"/>
    <sheet name="旭辉控股" sheetId="8" r:id="rId7"/>
    <sheet name="龙湖地产" sheetId="10" r:id="rId8"/>
    <sheet name="华侨城" sheetId="18" r:id="rId9"/>
    <sheet name="蓝光发展" sheetId="26" r:id="rId10"/>
    <sheet name="保利地产" sheetId="24" r:id="rId11"/>
    <sheet name="中国宏洋" sheetId="29" r:id="rId12"/>
    <sheet name="阳光城" sheetId="16" r:id="rId13"/>
    <sheet name="新城控股" sheetId="13" r:id="rId14"/>
    <sheet name="荣盛发展" sheetId="23" r:id="rId15"/>
    <sheet name="金地集团" sheetId="25" r:id="rId16"/>
    <sheet name="融创中国" sheetId="21" r:id="rId17"/>
    <sheet name="中南建设" sheetId="15" r:id="rId18"/>
    <sheet name="金科股份" sheetId="17" r:id="rId19"/>
    <sheet name="万科" sheetId="12" r:id="rId20"/>
    <sheet name="中海发展" sheetId="31" r:id="rId21"/>
    <sheet name="碧桂园" sheetId="7" r:id="rId22"/>
    <sheet name="华发股份" sheetId="30" r:id="rId23"/>
    <sheet name="中国金茂" sheetId="32" r:id="rId24"/>
    <sheet name="备注" sheetId="27" r:id="rId2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5" l="1"/>
  <c r="E27" i="15"/>
  <c r="F27" i="15"/>
  <c r="G27" i="15"/>
  <c r="C27" i="15"/>
  <c r="D50" i="15" l="1"/>
  <c r="F50" i="15"/>
  <c r="G48" i="15"/>
  <c r="F48" i="15"/>
  <c r="F49" i="15"/>
  <c r="I33" i="15" l="1"/>
  <c r="F15" i="21" l="1"/>
  <c r="E15" i="21"/>
  <c r="C11" i="21"/>
  <c r="D11" i="21"/>
  <c r="E11" i="21"/>
  <c r="F11" i="21"/>
  <c r="B11" i="21"/>
  <c r="E4" i="21"/>
  <c r="B11" i="2"/>
  <c r="G37" i="25"/>
  <c r="G13" i="25"/>
  <c r="G11" i="25"/>
  <c r="G23" i="25"/>
  <c r="F23" i="25"/>
  <c r="G18" i="25"/>
  <c r="F18" i="25"/>
  <c r="C13" i="25"/>
  <c r="D13" i="25"/>
  <c r="E13" i="25"/>
  <c r="F13" i="25"/>
  <c r="B13" i="25"/>
  <c r="G44" i="15" l="1"/>
  <c r="F44" i="15"/>
  <c r="C10" i="23"/>
  <c r="D10" i="23"/>
  <c r="E10" i="23"/>
  <c r="F10" i="23"/>
  <c r="B10" i="23"/>
  <c r="F56" i="23"/>
  <c r="F38" i="23"/>
  <c r="E38" i="23"/>
  <c r="C56" i="23"/>
  <c r="D56" i="23"/>
  <c r="E56" i="23"/>
  <c r="B56" i="23"/>
  <c r="C13" i="17" l="1"/>
  <c r="D13" i="17"/>
  <c r="E13" i="17"/>
  <c r="F13" i="17"/>
  <c r="B13" i="17"/>
  <c r="B26" i="17"/>
  <c r="C26" i="17"/>
  <c r="D26" i="17"/>
  <c r="E26" i="17"/>
  <c r="F26" i="17"/>
  <c r="F18" i="17"/>
  <c r="F11" i="17"/>
  <c r="E11" i="17"/>
  <c r="G32" i="12" l="1"/>
  <c r="G33" i="12" s="1"/>
  <c r="F32" i="12"/>
  <c r="F33" i="12" s="1"/>
  <c r="B73" i="12"/>
  <c r="C73" i="12"/>
  <c r="D73" i="12"/>
  <c r="E73" i="12"/>
  <c r="F73" i="12"/>
  <c r="G73" i="12"/>
  <c r="G17" i="12"/>
  <c r="G11" i="12"/>
  <c r="F11" i="12"/>
  <c r="G19" i="16" l="1"/>
  <c r="B6" i="20" l="1"/>
  <c r="C6" i="20"/>
  <c r="D6" i="20"/>
  <c r="E6" i="20"/>
  <c r="A39" i="20"/>
  <c r="A66" i="15"/>
  <c r="E52" i="13"/>
  <c r="F52" i="13"/>
  <c r="B52" i="13"/>
  <c r="C52" i="13"/>
  <c r="D52" i="13"/>
  <c r="C11" i="13"/>
  <c r="D11" i="13"/>
  <c r="E11" i="13"/>
  <c r="F11" i="13"/>
  <c r="B11" i="13"/>
  <c r="F38" i="13"/>
  <c r="E45" i="8" l="1"/>
  <c r="F45" i="8"/>
  <c r="G45" i="8"/>
  <c r="H45" i="8"/>
  <c r="D45" i="8"/>
  <c r="B43" i="16"/>
  <c r="G6" i="16"/>
  <c r="F43" i="16"/>
  <c r="G43" i="16"/>
  <c r="C43" i="16"/>
  <c r="D43" i="16"/>
  <c r="E43" i="16"/>
  <c r="G15" i="15" l="1"/>
  <c r="F15" i="15"/>
  <c r="E12" i="15"/>
  <c r="B13" i="1" l="1"/>
  <c r="C13" i="1"/>
  <c r="D13" i="1"/>
  <c r="E13" i="1"/>
  <c r="F13" i="1"/>
  <c r="F9" i="1"/>
  <c r="E9" i="1"/>
  <c r="B28" i="1"/>
  <c r="C28" i="1"/>
  <c r="D28" i="1"/>
  <c r="E28" i="1"/>
  <c r="F17" i="1"/>
  <c r="F11" i="1"/>
  <c r="D35" i="8"/>
  <c r="E35" i="8"/>
  <c r="F35" i="8"/>
  <c r="G35" i="8"/>
  <c r="H35" i="8"/>
  <c r="D13" i="8"/>
  <c r="E13" i="8"/>
  <c r="F13" i="8"/>
  <c r="G13" i="8"/>
  <c r="H13" i="8"/>
  <c r="G5" i="24"/>
  <c r="C5" i="24"/>
  <c r="D5" i="24"/>
  <c r="E5" i="24"/>
  <c r="F5" i="24"/>
  <c r="B5" i="24"/>
  <c r="C15" i="24"/>
  <c r="E10" i="24"/>
  <c r="F10" i="24"/>
  <c r="C10" i="15" l="1"/>
  <c r="D10" i="15"/>
  <c r="E10" i="15"/>
  <c r="F10" i="15"/>
  <c r="B11" i="16"/>
  <c r="C11" i="16"/>
  <c r="D11" i="16"/>
  <c r="E11" i="16"/>
  <c r="F11" i="16"/>
  <c r="G11" i="16"/>
  <c r="C55" i="15"/>
  <c r="D55" i="15"/>
  <c r="E55" i="15"/>
  <c r="B55" i="15"/>
  <c r="G10" i="16"/>
  <c r="F21" i="18"/>
  <c r="E21" i="18"/>
  <c r="C5" i="18"/>
  <c r="D5" i="18"/>
  <c r="E5" i="18"/>
  <c r="F5" i="18"/>
  <c r="B5" i="18"/>
  <c r="B3" i="5" l="1"/>
  <c r="C3" i="5"/>
  <c r="D3" i="5"/>
  <c r="E3" i="5"/>
  <c r="F3" i="5"/>
  <c r="F15" i="5"/>
  <c r="E15" i="5"/>
  <c r="B7" i="10"/>
  <c r="C7" i="10"/>
  <c r="D7" i="10"/>
  <c r="E7" i="10"/>
  <c r="F7" i="10"/>
  <c r="G7" i="10"/>
  <c r="H7" i="10"/>
  <c r="I7" i="10"/>
  <c r="J7" i="10"/>
  <c r="K7" i="10"/>
  <c r="K44" i="10"/>
  <c r="G35" i="10"/>
  <c r="G44" i="10" s="1"/>
  <c r="B44" i="10"/>
  <c r="C44" i="10"/>
  <c r="D44" i="10"/>
  <c r="E44" i="10"/>
  <c r="F44" i="10"/>
  <c r="H44" i="10"/>
  <c r="I44" i="10"/>
  <c r="J44" i="10"/>
  <c r="C11" i="25" l="1"/>
  <c r="D11" i="25"/>
  <c r="E11" i="25"/>
  <c r="F11" i="25"/>
  <c r="B11" i="25"/>
  <c r="B14" i="10"/>
  <c r="C14" i="10"/>
  <c r="D14" i="10"/>
  <c r="E14" i="10"/>
  <c r="F14" i="10"/>
  <c r="G14" i="10"/>
  <c r="H14" i="10"/>
  <c r="I14" i="10"/>
  <c r="J14" i="10"/>
  <c r="K14" i="10"/>
  <c r="B10" i="10"/>
  <c r="C10" i="10"/>
  <c r="D10" i="10"/>
  <c r="E10" i="10"/>
  <c r="F10" i="10"/>
  <c r="K13" i="10"/>
  <c r="B13" i="10"/>
  <c r="C13" i="10"/>
  <c r="D13" i="10"/>
  <c r="E13" i="10"/>
  <c r="F13" i="10"/>
  <c r="G13" i="10"/>
  <c r="H13" i="10"/>
  <c r="I13" i="10"/>
  <c r="J13" i="10"/>
  <c r="G11" i="32"/>
  <c r="G10" i="32"/>
  <c r="B11" i="17" l="1"/>
  <c r="C11" i="17"/>
  <c r="D11" i="17"/>
  <c r="C11" i="12"/>
  <c r="D11" i="12"/>
  <c r="E11" i="12"/>
  <c r="B11" i="12"/>
  <c r="C10" i="16"/>
  <c r="D10" i="16"/>
  <c r="E10" i="16"/>
  <c r="F10" i="16"/>
  <c r="B10" i="16"/>
  <c r="B21" i="26"/>
  <c r="C21" i="26"/>
  <c r="D21" i="26"/>
  <c r="E21" i="26"/>
  <c r="F21" i="26"/>
  <c r="C6" i="19"/>
  <c r="D6" i="19"/>
  <c r="E6" i="19"/>
  <c r="F6" i="19"/>
  <c r="B6" i="19"/>
  <c r="B13" i="8"/>
  <c r="C13" i="8"/>
  <c r="C15" i="15"/>
  <c r="D15" i="15"/>
  <c r="E15" i="15"/>
  <c r="E40" i="31"/>
  <c r="G40" i="31"/>
  <c r="F40" i="31"/>
  <c r="B5" i="31"/>
  <c r="C5" i="31"/>
  <c r="E5" i="31"/>
  <c r="D5" i="31"/>
  <c r="B21" i="31"/>
  <c r="B20" i="31"/>
  <c r="C21" i="31"/>
  <c r="C20" i="31"/>
  <c r="D21" i="31"/>
  <c r="D24" i="31"/>
  <c r="E21" i="31"/>
  <c r="B37" i="31"/>
  <c r="C37" i="31"/>
  <c r="D37" i="31"/>
  <c r="B33" i="31"/>
  <c r="B34" i="31"/>
  <c r="B31" i="31"/>
  <c r="B40" i="31" s="1"/>
  <c r="B30" i="31"/>
  <c r="C33" i="31"/>
  <c r="C31" i="31"/>
  <c r="C40" i="31" s="1"/>
  <c r="C34" i="31"/>
  <c r="C30" i="31"/>
  <c r="D30" i="31"/>
  <c r="D31" i="31"/>
  <c r="D40" i="31" s="1"/>
  <c r="D33" i="31"/>
  <c r="C12" i="31"/>
  <c r="B12" i="31"/>
  <c r="B11" i="31"/>
  <c r="E12" i="31"/>
  <c r="E11" i="31"/>
  <c r="B35" i="31"/>
  <c r="C35" i="31"/>
  <c r="D35" i="31"/>
  <c r="D34" i="31"/>
  <c r="F21" i="31"/>
  <c r="G20" i="31"/>
  <c r="B18" i="31" l="1"/>
  <c r="C18" i="31"/>
  <c r="D18" i="31"/>
  <c r="E18" i="31"/>
  <c r="F18" i="31"/>
  <c r="G21" i="31"/>
  <c r="G18" i="31"/>
  <c r="G11" i="31"/>
  <c r="G12" i="31"/>
  <c r="E25" i="29"/>
  <c r="F25" i="29"/>
  <c r="D15" i="24"/>
  <c r="E15" i="24"/>
  <c r="F15" i="24"/>
  <c r="G15" i="24"/>
  <c r="F5" i="7"/>
  <c r="F6" i="7"/>
  <c r="E6" i="7"/>
  <c r="E5" i="7"/>
  <c r="D6" i="7"/>
  <c r="D5" i="7"/>
  <c r="C6" i="7"/>
  <c r="C5" i="7"/>
  <c r="B6" i="7"/>
  <c r="C18" i="7"/>
  <c r="F18" i="7"/>
  <c r="B5" i="7"/>
  <c r="E18" i="7"/>
  <c r="E8" i="7"/>
  <c r="G19" i="24" l="1"/>
  <c r="F19" i="24"/>
  <c r="E13" i="29" l="1"/>
  <c r="D13" i="29"/>
  <c r="D22" i="29"/>
  <c r="D31" i="29"/>
  <c r="E31" i="29"/>
  <c r="D27" i="29"/>
  <c r="F22" i="29"/>
  <c r="E22" i="29"/>
  <c r="D18" i="29"/>
  <c r="E18" i="29"/>
  <c r="D8" i="29"/>
  <c r="E8" i="29"/>
  <c r="F8" i="29"/>
  <c r="D25" i="29" l="1"/>
  <c r="F31" i="29"/>
  <c r="F15" i="29"/>
  <c r="F18" i="29"/>
  <c r="F37" i="19"/>
  <c r="F11" i="19"/>
  <c r="E11" i="19"/>
  <c r="C18" i="17" l="1"/>
  <c r="D18" i="17"/>
  <c r="E18" i="17"/>
  <c r="B18" i="17"/>
  <c r="C12" i="28" l="1"/>
  <c r="D12" i="28"/>
  <c r="D38" i="23" l="1"/>
  <c r="E48" i="15" l="1"/>
  <c r="E44" i="15"/>
  <c r="E16" i="15" l="1"/>
  <c r="E50" i="15" s="1"/>
  <c r="C10" i="24" l="1"/>
  <c r="D10" i="24"/>
  <c r="D19" i="24"/>
  <c r="E19" i="24"/>
  <c r="C19" i="24"/>
  <c r="C23" i="25" l="1"/>
  <c r="D23" i="25"/>
  <c r="E23" i="25"/>
  <c r="B23" i="25"/>
  <c r="C18" i="25"/>
  <c r="D18" i="25"/>
  <c r="E18" i="25"/>
  <c r="B18" i="25"/>
  <c r="B32" i="16" l="1"/>
  <c r="C32" i="16"/>
  <c r="D32" i="16"/>
  <c r="E32" i="16"/>
  <c r="C37" i="16"/>
  <c r="C38" i="16" s="1"/>
  <c r="C44" i="15"/>
  <c r="D44" i="15"/>
  <c r="B44" i="15"/>
  <c r="C32" i="18" l="1"/>
  <c r="D32" i="18"/>
  <c r="E32" i="18"/>
  <c r="B32" i="18"/>
  <c r="E35" i="18"/>
  <c r="D35" i="18" l="1"/>
  <c r="D36" i="18" s="1"/>
  <c r="E36" i="18"/>
  <c r="C35" i="18"/>
  <c r="C36" i="18" s="1"/>
  <c r="D32" i="12"/>
  <c r="D33" i="12" s="1"/>
  <c r="E32" i="12"/>
  <c r="E33" i="12" s="1"/>
  <c r="C32" i="12"/>
  <c r="C33" i="12" s="1"/>
  <c r="D48" i="15"/>
  <c r="D49" i="15" s="1"/>
  <c r="E49" i="15"/>
  <c r="C48" i="15"/>
  <c r="C49" i="15" s="1"/>
  <c r="D37" i="16"/>
  <c r="D38" i="16" s="1"/>
  <c r="E37" i="16"/>
  <c r="E38" i="16" s="1"/>
  <c r="F37" i="16"/>
  <c r="F38" i="16" s="1"/>
  <c r="F32" i="16" s="1"/>
  <c r="C8" i="26" l="1"/>
  <c r="D8" i="26"/>
  <c r="E8" i="26"/>
  <c r="F8" i="26"/>
  <c r="B8" i="26"/>
  <c r="D44" i="24" l="1"/>
  <c r="C13" i="23" l="1"/>
  <c r="B13" i="23" s="1"/>
  <c r="F17" i="8"/>
  <c r="G32" i="8"/>
  <c r="C15" i="21"/>
  <c r="D15" i="21"/>
  <c r="B13" i="21"/>
  <c r="B15" i="21" s="1"/>
  <c r="D44" i="21"/>
  <c r="D43" i="21"/>
  <c r="D42" i="21"/>
  <c r="D12" i="20" l="1"/>
  <c r="E12" i="20"/>
  <c r="C12" i="20"/>
  <c r="C14" i="20"/>
  <c r="B14" i="20"/>
  <c r="B12" i="20"/>
  <c r="F23" i="20"/>
  <c r="D14" i="20"/>
  <c r="E14" i="20"/>
  <c r="C23" i="7" l="1"/>
  <c r="D23" i="7"/>
  <c r="D14" i="7"/>
  <c r="D18" i="7"/>
  <c r="C17" i="12" l="1"/>
  <c r="D17" i="12"/>
  <c r="E17" i="12"/>
  <c r="F17" i="12"/>
  <c r="B17" i="12"/>
  <c r="B5" i="1"/>
  <c r="B16" i="1"/>
  <c r="B15" i="1"/>
  <c r="E7" i="1"/>
  <c r="C15" i="5" l="1"/>
  <c r="D14" i="5"/>
  <c r="D15" i="5" s="1"/>
  <c r="E10" i="5"/>
  <c r="D11" i="19"/>
  <c r="E17" i="19"/>
  <c r="D21" i="18" l="1"/>
  <c r="D19" i="18"/>
  <c r="E9" i="18"/>
  <c r="D8" i="18"/>
  <c r="D14" i="18"/>
  <c r="D15" i="16" l="1"/>
  <c r="E15" i="16"/>
  <c r="C32" i="13" l="1"/>
  <c r="D32" i="13"/>
  <c r="E32" i="13" l="1"/>
  <c r="C3" i="2" l="1"/>
  <c r="B3" i="2"/>
</calcChain>
</file>

<file path=xl/sharedStrings.xml><?xml version="1.0" encoding="utf-8"?>
<sst xmlns="http://schemas.openxmlformats.org/spreadsheetml/2006/main" count="1132" uniqueCount="698">
  <si>
    <t>年份</t>
    <phoneticPr fontId="1" type="noConversion"/>
  </si>
  <si>
    <t>2020年</t>
    <phoneticPr fontId="1" type="noConversion"/>
  </si>
  <si>
    <t>2019年</t>
    <phoneticPr fontId="1" type="noConversion"/>
  </si>
  <si>
    <t>2018年</t>
    <phoneticPr fontId="1" type="noConversion"/>
  </si>
  <si>
    <t>2017年</t>
    <phoneticPr fontId="1" type="noConversion"/>
  </si>
  <si>
    <t>毛利率</t>
    <phoneticPr fontId="1" type="noConversion"/>
  </si>
  <si>
    <t>短期借贷</t>
    <phoneticPr fontId="1" type="noConversion"/>
  </si>
  <si>
    <t>长期借贷</t>
    <phoneticPr fontId="1" type="noConversion"/>
  </si>
  <si>
    <t>股权回报率</t>
    <phoneticPr fontId="1" type="noConversion"/>
  </si>
  <si>
    <t>合约销售额</t>
    <phoneticPr fontId="1" type="noConversion"/>
  </si>
  <si>
    <t>合约销售面积（万㎡）</t>
    <phoneticPr fontId="1" type="noConversion"/>
  </si>
  <si>
    <t>新增土储（万㎡）</t>
    <phoneticPr fontId="1" type="noConversion"/>
  </si>
  <si>
    <t>收购权益土储（万㎡）</t>
    <phoneticPr fontId="1" type="noConversion"/>
  </si>
  <si>
    <t>总土储（万㎡）</t>
    <phoneticPr fontId="1" type="noConversion"/>
  </si>
  <si>
    <t>项目个数</t>
    <phoneticPr fontId="1" type="noConversion"/>
  </si>
  <si>
    <t>合联营项目个数</t>
    <phoneticPr fontId="1" type="noConversion"/>
  </si>
  <si>
    <t>融资成本</t>
    <phoneticPr fontId="1" type="noConversion"/>
  </si>
  <si>
    <t>净负债率</t>
    <phoneticPr fontId="1" type="noConversion"/>
  </si>
  <si>
    <t>楼面价（元/㎡）</t>
    <phoneticPr fontId="1" type="noConversion"/>
  </si>
  <si>
    <t>覆盖省份及城市</t>
    <phoneticPr fontId="1" type="noConversion"/>
  </si>
  <si>
    <t>销售均价（元/㎡）</t>
    <phoneticPr fontId="1" type="noConversion"/>
  </si>
  <si>
    <t>63城</t>
    <phoneticPr fontId="1" type="noConversion"/>
  </si>
  <si>
    <t>美的置业</t>
    <phoneticPr fontId="1" type="noConversion"/>
  </si>
  <si>
    <t>绿城中国</t>
    <phoneticPr fontId="1" type="noConversion"/>
  </si>
  <si>
    <t>本公司股东应占利润</t>
    <phoneticPr fontId="1" type="noConversion"/>
  </si>
  <si>
    <t>新增楼面价（元/㎡）</t>
    <phoneticPr fontId="1" type="noConversion"/>
  </si>
  <si>
    <t>新增项目数量</t>
    <phoneticPr fontId="1" type="noConversion"/>
  </si>
  <si>
    <t>权益土储（万㎡）</t>
    <phoneticPr fontId="1" type="noConversion"/>
  </si>
  <si>
    <t>总可售面积</t>
    <phoneticPr fontId="1" type="noConversion"/>
  </si>
  <si>
    <t>权益可售面积</t>
    <phoneticPr fontId="1" type="noConversion"/>
  </si>
  <si>
    <t>楼面价</t>
    <phoneticPr fontId="1" type="noConversion"/>
  </si>
  <si>
    <t>总借贷</t>
    <phoneticPr fontId="1" type="noConversion"/>
  </si>
  <si>
    <t>本公司股东应占权益</t>
    <phoneticPr fontId="1" type="noConversion"/>
  </si>
  <si>
    <t>全国商品房销售金额（万亿元）</t>
    <phoneticPr fontId="1" type="noConversion"/>
  </si>
  <si>
    <t>全国商品房销售面积（亿㎡）</t>
    <phoneticPr fontId="1" type="noConversion"/>
  </si>
  <si>
    <t>集团自投项目合同销售额</t>
    <phoneticPr fontId="1" type="noConversion"/>
  </si>
  <si>
    <t>自投项目销售均价（元/㎡）</t>
    <phoneticPr fontId="1" type="noConversion"/>
  </si>
  <si>
    <t>其中权益金额</t>
    <phoneticPr fontId="1" type="noConversion"/>
  </si>
  <si>
    <t>利息支出</t>
    <phoneticPr fontId="1" type="noConversion"/>
  </si>
  <si>
    <t>利息资本化</t>
    <phoneticPr fontId="1" type="noConversion"/>
  </si>
  <si>
    <t>股息率</t>
    <phoneticPr fontId="1" type="noConversion"/>
  </si>
  <si>
    <t>每股股息（建议）</t>
    <phoneticPr fontId="1" type="noConversion"/>
  </si>
  <si>
    <t>碧桂园</t>
    <phoneticPr fontId="1" type="noConversion"/>
  </si>
  <si>
    <t>回款率</t>
    <phoneticPr fontId="1" type="noConversion"/>
  </si>
  <si>
    <t>权益合同销售回款</t>
    <phoneticPr fontId="1" type="noConversion"/>
  </si>
  <si>
    <t>净借贷比率</t>
    <phoneticPr fontId="1" type="noConversion"/>
  </si>
  <si>
    <t>权益土储（百万㎡）</t>
    <phoneticPr fontId="1" type="noConversion"/>
  </si>
  <si>
    <t>旭辉控股</t>
    <phoneticPr fontId="1" type="noConversion"/>
  </si>
  <si>
    <t>核心净利润率</t>
    <phoneticPr fontId="1" type="noConversion"/>
  </si>
  <si>
    <t>合同销售金额现金回款率</t>
    <phoneticPr fontId="1" type="noConversion"/>
  </si>
  <si>
    <t>90%+</t>
    <phoneticPr fontId="1" type="noConversion"/>
  </si>
  <si>
    <t>新增项目个数</t>
    <phoneticPr fontId="1" type="noConversion"/>
  </si>
  <si>
    <t>本集团应占土地出让金</t>
    <phoneticPr fontId="1" type="noConversion"/>
  </si>
  <si>
    <t>合约销售目标</t>
    <phoneticPr fontId="1" type="noConversion"/>
  </si>
  <si>
    <t>新增土储-合计（万㎡）</t>
    <phoneticPr fontId="1" type="noConversion"/>
  </si>
  <si>
    <t>新增土储-应占（万㎡）</t>
    <phoneticPr fontId="1" type="noConversion"/>
  </si>
  <si>
    <t>总土储-合计（万㎡）</t>
    <phoneticPr fontId="1" type="noConversion"/>
  </si>
  <si>
    <t>总土储-应占（万㎡）</t>
    <phoneticPr fontId="1" type="noConversion"/>
  </si>
  <si>
    <t>销售费用</t>
    <phoneticPr fontId="1" type="noConversion"/>
  </si>
  <si>
    <t>管理费用</t>
    <phoneticPr fontId="1" type="noConversion"/>
  </si>
  <si>
    <t>合联营产生的利润</t>
    <phoneticPr fontId="1" type="noConversion"/>
  </si>
  <si>
    <t>借款成本</t>
    <phoneticPr fontId="1" type="noConversion"/>
  </si>
  <si>
    <t>85%+</t>
    <phoneticPr fontId="1" type="noConversion"/>
  </si>
  <si>
    <t>龙湖历年主要财务指标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</si>
  <si>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</si>
  <si>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</si>
  <si>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</si>
  <si>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</si>
  <si>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</si>
  <si>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</si>
  <si>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</si>
  <si>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</si>
  <si>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2020年</t>
  </si>
  <si>
    <t>合同销售额（亿元）</t>
  </si>
  <si>
    <t>销售建面（万㎡）</t>
  </si>
  <si>
    <t>已售未结建面（万㎡）</t>
  </si>
  <si>
    <t>土地储备（万㎡）</t>
  </si>
  <si>
    <t>权益土储（万㎡）</t>
  </si>
  <si>
    <t>土储平均成本（元/㎡）</t>
  </si>
  <si>
    <t>新增土储建面（万㎡）</t>
  </si>
  <si>
    <t>新增土储权益面积（万㎡）</t>
  </si>
  <si>
    <t>平均溢价率</t>
  </si>
  <si>
    <t>新增土储平均成本（元/㎡）</t>
  </si>
  <si>
    <t>有息负债（亿元）</t>
  </si>
  <si>
    <t>平均借贷成本</t>
  </si>
  <si>
    <t>销售单价（元/㎡）</t>
    <phoneticPr fontId="1" type="noConversion"/>
  </si>
  <si>
    <t>本公司股本持有人应占溢利</t>
    <phoneticPr fontId="1" type="noConversion"/>
  </si>
  <si>
    <t>利息支出（亿元）</t>
    <phoneticPr fontId="1" type="noConversion"/>
  </si>
  <si>
    <t>利息资本化（亿元）</t>
    <phoneticPr fontId="1" type="noConversion"/>
  </si>
  <si>
    <t>分红占核心净利润比例</t>
    <phoneticPr fontId="1" type="noConversion"/>
  </si>
  <si>
    <t>物业发展业务结算毛利率</t>
    <phoneticPr fontId="1" type="noConversion"/>
  </si>
  <si>
    <t>销售费用（亿元）</t>
    <phoneticPr fontId="1" type="noConversion"/>
  </si>
  <si>
    <t>管理费用（亿元）</t>
    <phoneticPr fontId="1" type="noConversion"/>
  </si>
  <si>
    <t>万科历年财务指标</t>
    <phoneticPr fontId="1" type="noConversion"/>
  </si>
  <si>
    <t>新城控股财务指标</t>
    <phoneticPr fontId="1" type="noConversion"/>
  </si>
  <si>
    <t>土地储备（万㎡）</t>
    <phoneticPr fontId="1" type="noConversion"/>
  </si>
  <si>
    <t>合同销售额（亿元）</t>
    <phoneticPr fontId="1" type="noConversion"/>
  </si>
  <si>
    <t>销售面积（万㎡）</t>
    <phoneticPr fontId="1" type="noConversion"/>
  </si>
  <si>
    <t>新增土地储备（幅）</t>
    <phoneticPr fontId="1" type="noConversion"/>
  </si>
  <si>
    <t>新增建面（万㎡）</t>
    <phoneticPr fontId="1" type="noConversion"/>
  </si>
  <si>
    <t>新增平均楼面价（元/㎡）</t>
    <phoneticPr fontId="1" type="noConversion"/>
  </si>
  <si>
    <t>新增商业土储总建面（万㎡）</t>
    <phoneticPr fontId="1" type="noConversion"/>
  </si>
  <si>
    <t>吾悦广场总数量（座）</t>
    <phoneticPr fontId="1" type="noConversion"/>
  </si>
  <si>
    <t>新开业吾悦广场（座）</t>
    <phoneticPr fontId="1" type="noConversion"/>
  </si>
  <si>
    <t>吾悦广场实现商业运营总收入（含税租金收入，亿元）</t>
    <phoneticPr fontId="1" type="noConversion"/>
  </si>
  <si>
    <t>吾悦广场开业面积（万㎡）</t>
    <phoneticPr fontId="1" type="noConversion"/>
  </si>
  <si>
    <t>平均出租率</t>
    <phoneticPr fontId="1" type="noConversion"/>
  </si>
  <si>
    <t>客流总量（亿人次）</t>
    <phoneticPr fontId="1" type="noConversion"/>
  </si>
  <si>
    <t>销售总额（亿元）</t>
    <phoneticPr fontId="1" type="noConversion"/>
  </si>
  <si>
    <t>会员人数（万人）</t>
    <phoneticPr fontId="1" type="noConversion"/>
  </si>
  <si>
    <t>吾悦广场：</t>
    <phoneticPr fontId="1" type="noConversion"/>
  </si>
  <si>
    <t>房地产开发：</t>
    <phoneticPr fontId="1" type="noConversion"/>
  </si>
  <si>
    <t>归属于上市公司股东净资产</t>
    <phoneticPr fontId="1" type="noConversion"/>
  </si>
  <si>
    <t>剔除预收账款后的资产负债率</t>
    <phoneticPr fontId="1" type="noConversion"/>
  </si>
  <si>
    <t>现金短债比</t>
    <phoneticPr fontId="1" type="noConversion"/>
  </si>
  <si>
    <t>住宅销售毛利率</t>
    <phoneticPr fontId="1" type="noConversion"/>
  </si>
  <si>
    <t>综合体销售毛利率</t>
    <phoneticPr fontId="1" type="noConversion"/>
  </si>
  <si>
    <t>物业出租及管理毛利率</t>
    <phoneticPr fontId="1" type="noConversion"/>
  </si>
  <si>
    <t>结算金额（亿元）</t>
    <phoneticPr fontId="1" type="noConversion"/>
  </si>
  <si>
    <t>结算面积（万㎡）</t>
    <phoneticPr fontId="1" type="noConversion"/>
  </si>
  <si>
    <t>借款及债权利息支出</t>
    <phoneticPr fontId="1" type="noConversion"/>
  </si>
  <si>
    <t>合同负债内含融资成分利息支出</t>
    <phoneticPr fontId="1" type="noConversion"/>
  </si>
  <si>
    <t>土储分布城市个数</t>
    <phoneticPr fontId="1" type="noConversion"/>
  </si>
  <si>
    <t>中南历年主要财务指标</t>
  </si>
  <si>
    <t>分红占净利润比例</t>
  </si>
  <si>
    <t>结算毛利率</t>
  </si>
  <si>
    <t>销售单价（元/㎡）</t>
  </si>
  <si>
    <t>归属于上市公司股东净利润（亿元）</t>
    <phoneticPr fontId="1" type="noConversion"/>
  </si>
  <si>
    <t>归属于上市公司股东的净资产</t>
  </si>
  <si>
    <t>归属于上市公司股东的净资产</t>
    <phoneticPr fontId="1" type="noConversion"/>
  </si>
  <si>
    <t>2017年</t>
    <phoneticPr fontId="1" type="noConversion"/>
  </si>
  <si>
    <t>2018年</t>
    <phoneticPr fontId="1" type="noConversion"/>
  </si>
  <si>
    <t>2019年</t>
    <phoneticPr fontId="1" type="noConversion"/>
  </si>
  <si>
    <t>净负债率</t>
    <phoneticPr fontId="1" type="noConversion"/>
  </si>
  <si>
    <t>销售金额</t>
    <phoneticPr fontId="1" type="noConversion"/>
  </si>
  <si>
    <t>结算面积（万㎡）</t>
    <phoneticPr fontId="1" type="noConversion"/>
  </si>
  <si>
    <t>销售面积（万㎡）</t>
    <phoneticPr fontId="1" type="noConversion"/>
  </si>
  <si>
    <t>开发业务结算收入</t>
    <phoneticPr fontId="1" type="noConversion"/>
  </si>
  <si>
    <t>开发业务结算均价（元/㎡）</t>
    <phoneticPr fontId="1" type="noConversion"/>
  </si>
  <si>
    <t>已售资源未竣工结算-合同金额</t>
    <phoneticPr fontId="1" type="noConversion"/>
  </si>
  <si>
    <t>已售资源未竣工结算-面积（万㎡）</t>
    <phoneticPr fontId="1" type="noConversion"/>
  </si>
  <si>
    <t>开发项目新开工面积</t>
    <phoneticPr fontId="1" type="noConversion"/>
  </si>
  <si>
    <t>开发项目实现竣工面积</t>
    <phoneticPr fontId="1" type="noConversion"/>
  </si>
  <si>
    <t>新增项目数量</t>
    <phoneticPr fontId="1" type="noConversion"/>
  </si>
  <si>
    <t>新增项目规划建筑面积</t>
    <phoneticPr fontId="1" type="noConversion"/>
  </si>
  <si>
    <t>新增项目权益规划建筑面积</t>
    <phoneticPr fontId="1" type="noConversion"/>
  </si>
  <si>
    <t>新增项目权益地价总额</t>
    <phoneticPr fontId="1" type="noConversion"/>
  </si>
  <si>
    <t>新增项目平均地价</t>
    <phoneticPr fontId="1" type="noConversion"/>
  </si>
  <si>
    <t>在建项目总建筑面积</t>
    <phoneticPr fontId="1" type="noConversion"/>
  </si>
  <si>
    <t>在建项目权益建筑面积</t>
    <phoneticPr fontId="1" type="noConversion"/>
  </si>
  <si>
    <t>规划中项目总建筑面积</t>
    <phoneticPr fontId="1" type="noConversion"/>
  </si>
  <si>
    <t>规划中项目权益建筑面积</t>
    <phoneticPr fontId="1" type="noConversion"/>
  </si>
  <si>
    <t>旧城改造项目权益建筑面积</t>
    <phoneticPr fontId="1" type="noConversion"/>
  </si>
  <si>
    <t>万科物业新拓展项目的年饱和收入</t>
    <phoneticPr fontId="1" type="noConversion"/>
  </si>
  <si>
    <t>新拓展住宅物业服务新增签约面积</t>
    <phoneticPr fontId="1" type="noConversion"/>
  </si>
  <si>
    <t>新拓展住宅物业服务新增饱和收入</t>
    <phoneticPr fontId="1" type="noConversion"/>
  </si>
  <si>
    <t>万科物业累计签约面积</t>
    <phoneticPr fontId="1" type="noConversion"/>
  </si>
  <si>
    <t>其中已接管合同面积</t>
    <phoneticPr fontId="1" type="noConversion"/>
  </si>
  <si>
    <t>为未来储备面积</t>
    <phoneticPr fontId="1" type="noConversion"/>
  </si>
  <si>
    <t>房地产及相关业务结算毛利率</t>
    <phoneticPr fontId="1" type="noConversion"/>
  </si>
  <si>
    <t>有息负债</t>
    <phoneticPr fontId="1" type="noConversion"/>
  </si>
  <si>
    <t>短期债务</t>
    <phoneticPr fontId="1" type="noConversion"/>
  </si>
  <si>
    <t>长期债务</t>
    <phoneticPr fontId="1" type="noConversion"/>
  </si>
  <si>
    <t>利息支出</t>
    <phoneticPr fontId="1" type="noConversion"/>
  </si>
  <si>
    <t>利息资本化</t>
    <phoneticPr fontId="1" type="noConversion"/>
  </si>
  <si>
    <t>信用评级：</t>
    <phoneticPr fontId="1" type="noConversion"/>
  </si>
  <si>
    <t>标普</t>
    <phoneticPr fontId="1" type="noConversion"/>
  </si>
  <si>
    <t>惠誉</t>
    <phoneticPr fontId="1" type="noConversion"/>
  </si>
  <si>
    <t>BBB+</t>
    <phoneticPr fontId="1" type="noConversion"/>
  </si>
  <si>
    <t>穆迪</t>
    <phoneticPr fontId="1" type="noConversion"/>
  </si>
  <si>
    <t>Baa1</t>
    <phoneticPr fontId="1" type="noConversion"/>
  </si>
  <si>
    <t>中诚信</t>
    <phoneticPr fontId="1" type="noConversion"/>
  </si>
  <si>
    <t>AAA</t>
    <phoneticPr fontId="1" type="noConversion"/>
  </si>
  <si>
    <t>预计新开工面积</t>
    <phoneticPr fontId="1" type="noConversion"/>
  </si>
  <si>
    <t>预计项目竣工面积</t>
    <phoneticPr fontId="1" type="noConversion"/>
  </si>
  <si>
    <t>商业开发与运营：</t>
    <phoneticPr fontId="1" type="noConversion"/>
  </si>
  <si>
    <t>印力运营项目数量</t>
    <phoneticPr fontId="1" type="noConversion"/>
  </si>
  <si>
    <t>印力管理面积</t>
    <phoneticPr fontId="1" type="noConversion"/>
  </si>
  <si>
    <t>2016年</t>
    <phoneticPr fontId="1" type="noConversion"/>
  </si>
  <si>
    <t>阳光城主要财务指标</t>
    <phoneticPr fontId="1" type="noConversion"/>
  </si>
  <si>
    <t>2016年</t>
    <phoneticPr fontId="1" type="noConversion"/>
  </si>
  <si>
    <t>全口径销售金额</t>
    <phoneticPr fontId="1" type="noConversion"/>
  </si>
  <si>
    <t>权益销售金额</t>
    <phoneticPr fontId="1" type="noConversion"/>
  </si>
  <si>
    <t>有息负债</t>
    <phoneticPr fontId="1" type="noConversion"/>
  </si>
  <si>
    <t>短期债务</t>
    <phoneticPr fontId="1" type="noConversion"/>
  </si>
  <si>
    <t>平均融资成本</t>
    <phoneticPr fontId="1" type="noConversion"/>
  </si>
  <si>
    <t>新增权益土地储备（万㎡）</t>
    <phoneticPr fontId="1" type="noConversion"/>
  </si>
  <si>
    <t>累计土地储备（万㎡）</t>
    <phoneticPr fontId="1" type="noConversion"/>
  </si>
  <si>
    <t>新增土地储备（万㎡）</t>
    <phoneticPr fontId="1" type="noConversion"/>
  </si>
  <si>
    <t>新增权益对价</t>
    <phoneticPr fontId="1" type="noConversion"/>
  </si>
  <si>
    <t>结算毛利率</t>
    <phoneticPr fontId="1" type="noConversion"/>
  </si>
  <si>
    <t>在手货值</t>
    <phoneticPr fontId="1" type="noConversion"/>
  </si>
  <si>
    <t>2020年</t>
    <phoneticPr fontId="1" type="noConversion"/>
  </si>
  <si>
    <t>华侨城主要财务指标</t>
    <phoneticPr fontId="1" type="noConversion"/>
  </si>
  <si>
    <t>归属上市公司股东的净资产</t>
    <phoneticPr fontId="1" type="noConversion"/>
  </si>
  <si>
    <t>旅游综合毛利率</t>
    <phoneticPr fontId="1" type="noConversion"/>
  </si>
  <si>
    <t>房地产毛利率</t>
    <phoneticPr fontId="1" type="noConversion"/>
  </si>
  <si>
    <t>旅游区接待游客（万人次）</t>
    <phoneticPr fontId="1" type="noConversion"/>
  </si>
  <si>
    <t>销售回款</t>
    <phoneticPr fontId="1" type="noConversion"/>
  </si>
  <si>
    <t>房地产业务（以收定投）：</t>
    <phoneticPr fontId="1" type="noConversion"/>
  </si>
  <si>
    <t>新增土地数量</t>
    <phoneticPr fontId="1" type="noConversion"/>
  </si>
  <si>
    <t>新增计容建筑面积</t>
    <phoneticPr fontId="1" type="noConversion"/>
  </si>
  <si>
    <t>签约销售额</t>
    <phoneticPr fontId="1" type="noConversion"/>
  </si>
  <si>
    <t>签约销售面积</t>
    <phoneticPr fontId="1" type="noConversion"/>
  </si>
  <si>
    <t>借款费用资本化</t>
    <phoneticPr fontId="1" type="noConversion"/>
  </si>
  <si>
    <t>旅游及房开土储</t>
    <phoneticPr fontId="1" type="noConversion"/>
  </si>
  <si>
    <t>规划总建筑面积</t>
    <phoneticPr fontId="1" type="noConversion"/>
  </si>
  <si>
    <t>奥园财务指标</t>
    <phoneticPr fontId="1" type="noConversion"/>
  </si>
  <si>
    <t>合同销售额</t>
    <phoneticPr fontId="1" type="noConversion"/>
  </si>
  <si>
    <t>借贷成本</t>
    <phoneticPr fontId="1" type="noConversion"/>
  </si>
  <si>
    <t>分红</t>
    <phoneticPr fontId="1" type="noConversion"/>
  </si>
  <si>
    <t>惠誉评级</t>
    <phoneticPr fontId="1" type="noConversion"/>
  </si>
  <si>
    <t>BB[稳定]</t>
    <phoneticPr fontId="1" type="noConversion"/>
  </si>
  <si>
    <t>新增建筑面积</t>
    <phoneticPr fontId="1" type="noConversion"/>
  </si>
  <si>
    <t>新增可售货值</t>
    <phoneticPr fontId="1" type="noConversion"/>
  </si>
  <si>
    <t>城市更新项目：</t>
    <phoneticPr fontId="1" type="noConversion"/>
  </si>
  <si>
    <t>总规划建筑面积</t>
    <phoneticPr fontId="1" type="noConversion"/>
  </si>
  <si>
    <t>规划可售面积</t>
    <phoneticPr fontId="1" type="noConversion"/>
  </si>
  <si>
    <t>预计额外提供可售货值</t>
    <phoneticPr fontId="1" type="noConversion"/>
  </si>
  <si>
    <t>项目总数</t>
    <phoneticPr fontId="1" type="noConversion"/>
  </si>
  <si>
    <t>土地储备总建筑面积</t>
    <phoneticPr fontId="1" type="noConversion"/>
  </si>
  <si>
    <t>权益比</t>
    <phoneticPr fontId="1" type="noConversion"/>
  </si>
  <si>
    <t>计入城市更新项目后的总货值（亿元）</t>
    <phoneticPr fontId="1" type="noConversion"/>
  </si>
  <si>
    <t>总货值（亿元）</t>
    <phoneticPr fontId="1" type="noConversion"/>
  </si>
  <si>
    <t>结算销售均价</t>
    <phoneticPr fontId="1" type="noConversion"/>
  </si>
  <si>
    <t>提供担保</t>
    <phoneticPr fontId="1" type="noConversion"/>
  </si>
  <si>
    <t>国内评级</t>
    <phoneticPr fontId="1" type="noConversion"/>
  </si>
  <si>
    <t>合同销售面积</t>
    <phoneticPr fontId="1" type="noConversion"/>
  </si>
  <si>
    <t>平均土储成本（元/㎡）</t>
    <phoneticPr fontId="1" type="noConversion"/>
  </si>
  <si>
    <t>有息负债实际利率</t>
    <phoneticPr fontId="1" type="noConversion"/>
  </si>
  <si>
    <t>平均售价</t>
    <phoneticPr fontId="1" type="noConversion"/>
  </si>
  <si>
    <t>集团自投项目合同销售面积</t>
    <phoneticPr fontId="1" type="noConversion"/>
  </si>
  <si>
    <t>2020年每股股息（建议）</t>
    <phoneticPr fontId="1" type="noConversion"/>
  </si>
  <si>
    <t>2期分红，每期0.8港元</t>
    <phoneticPr fontId="1" type="noConversion"/>
  </si>
  <si>
    <t>2020年</t>
    <phoneticPr fontId="1" type="noConversion"/>
  </si>
  <si>
    <t>销售均价</t>
    <phoneticPr fontId="1" type="noConversion"/>
  </si>
  <si>
    <t>中国恒大财务数据</t>
    <phoneticPr fontId="1" type="noConversion"/>
  </si>
  <si>
    <t>合约销售面积</t>
    <phoneticPr fontId="1" type="noConversion"/>
  </si>
  <si>
    <t>短期借款</t>
    <phoneticPr fontId="1" type="noConversion"/>
  </si>
  <si>
    <t>长期借款</t>
    <phoneticPr fontId="1" type="noConversion"/>
  </si>
  <si>
    <t>土储面积</t>
    <phoneticPr fontId="1" type="noConversion"/>
  </si>
  <si>
    <t>新增土储数量</t>
    <phoneticPr fontId="1" type="noConversion"/>
  </si>
  <si>
    <t>新增土储建筑面积</t>
    <phoneticPr fontId="1" type="noConversion"/>
  </si>
  <si>
    <t>新增土储平均成本</t>
    <phoneticPr fontId="1" type="noConversion"/>
  </si>
  <si>
    <t>总土储数量</t>
    <phoneticPr fontId="1" type="noConversion"/>
  </si>
  <si>
    <t>土地储备原值（亿元）</t>
    <phoneticPr fontId="1" type="noConversion"/>
  </si>
  <si>
    <t>新开工面积</t>
    <phoneticPr fontId="1" type="noConversion"/>
  </si>
  <si>
    <t>在建工程面积</t>
    <phoneticPr fontId="1" type="noConversion"/>
  </si>
  <si>
    <t>竣工面积</t>
    <phoneticPr fontId="1" type="noConversion"/>
  </si>
  <si>
    <t>计划2021年有息负债</t>
    <phoneticPr fontId="1" type="noConversion"/>
  </si>
  <si>
    <t>5600亿</t>
    <phoneticPr fontId="1" type="noConversion"/>
  </si>
  <si>
    <t>计划2022年6年有息负债</t>
    <phoneticPr fontId="1" type="noConversion"/>
  </si>
  <si>
    <t>计划2023年6年有息负债</t>
    <phoneticPr fontId="1" type="noConversion"/>
  </si>
  <si>
    <t>4500亿</t>
    <phoneticPr fontId="1" type="noConversion"/>
  </si>
  <si>
    <t>3500亿</t>
    <phoneticPr fontId="1" type="noConversion"/>
  </si>
  <si>
    <t>计划2021年6月净负债率</t>
    <phoneticPr fontId="1" type="noConversion"/>
  </si>
  <si>
    <t>小于100%</t>
    <phoneticPr fontId="1" type="noConversion"/>
  </si>
  <si>
    <t>计划2121年现金短债比</t>
    <phoneticPr fontId="1" type="noConversion"/>
  </si>
  <si>
    <t>大于1</t>
    <phoneticPr fontId="1" type="noConversion"/>
  </si>
  <si>
    <t>计划2022年资产负债率</t>
    <phoneticPr fontId="1" type="noConversion"/>
  </si>
  <si>
    <t>小于70%</t>
    <phoneticPr fontId="1" type="noConversion"/>
  </si>
  <si>
    <t>借款平均利率</t>
    <phoneticPr fontId="1" type="noConversion"/>
  </si>
  <si>
    <t>土地平均成本</t>
    <phoneticPr fontId="1" type="noConversion"/>
  </si>
  <si>
    <t>规划建筑面积</t>
    <phoneticPr fontId="1" type="noConversion"/>
  </si>
  <si>
    <t>融创中国财务数据</t>
    <phoneticPr fontId="1" type="noConversion"/>
  </si>
  <si>
    <t>合同销售金额</t>
    <phoneticPr fontId="1" type="noConversion"/>
  </si>
  <si>
    <t>本公司拥有人应占溢利</t>
    <phoneticPr fontId="1" type="noConversion"/>
  </si>
  <si>
    <t>非受限现金短债比</t>
    <phoneticPr fontId="1" type="noConversion"/>
  </si>
  <si>
    <t>剔除预收款后的资产负债率</t>
    <phoneticPr fontId="1" type="noConversion"/>
  </si>
  <si>
    <t>本公司拥有人应占权益</t>
    <phoneticPr fontId="1" type="noConversion"/>
  </si>
  <si>
    <t>借款总额</t>
    <phoneticPr fontId="1" type="noConversion"/>
  </si>
  <si>
    <t>利息开支</t>
    <phoneticPr fontId="1" type="noConversion"/>
  </si>
  <si>
    <t>新增土储面积</t>
    <phoneticPr fontId="1" type="noConversion"/>
  </si>
  <si>
    <t>新增货值</t>
    <phoneticPr fontId="1" type="noConversion"/>
  </si>
  <si>
    <t>平均土地成本</t>
    <phoneticPr fontId="1" type="noConversion"/>
  </si>
  <si>
    <t>权益土地储备面积</t>
    <phoneticPr fontId="1" type="noConversion"/>
  </si>
  <si>
    <t>合联营毛利率</t>
    <phoneticPr fontId="1" type="noConversion"/>
  </si>
  <si>
    <t>加权平均实际利率</t>
    <phoneticPr fontId="1" type="noConversion"/>
  </si>
  <si>
    <t>项目数量</t>
    <phoneticPr fontId="1" type="noConversion"/>
  </si>
  <si>
    <t>新增权益土储面积</t>
    <phoneticPr fontId="1" type="noConversion"/>
  </si>
  <si>
    <t>新增平均土地成本</t>
    <phoneticPr fontId="1" type="noConversion"/>
  </si>
  <si>
    <t>预计可售资源（亿元）</t>
    <phoneticPr fontId="1" type="noConversion"/>
  </si>
  <si>
    <t>土地储备货值（亿元）</t>
    <phoneticPr fontId="1" type="noConversion"/>
  </si>
  <si>
    <t>土地储备面积（万㎡）</t>
    <phoneticPr fontId="1" type="noConversion"/>
  </si>
  <si>
    <t>荣盛发展财务数据</t>
    <phoneticPr fontId="1" type="noConversion"/>
  </si>
  <si>
    <t>签约销售金额</t>
    <phoneticPr fontId="1" type="noConversion"/>
  </si>
  <si>
    <t>新增规划建筑面积</t>
    <phoneticPr fontId="1" type="noConversion"/>
  </si>
  <si>
    <t>土地储备建筑面积</t>
    <phoneticPr fontId="1" type="noConversion"/>
  </si>
  <si>
    <t>开工面积</t>
    <phoneticPr fontId="1" type="noConversion"/>
  </si>
  <si>
    <t>结转项目面积</t>
    <phoneticPr fontId="1" type="noConversion"/>
  </si>
  <si>
    <t>新增土地储备面积</t>
    <phoneticPr fontId="1" type="noConversion"/>
  </si>
  <si>
    <t>新增土地储备货值</t>
    <phoneticPr fontId="1" type="noConversion"/>
  </si>
  <si>
    <t>新增土地储备利润</t>
    <phoneticPr fontId="1" type="noConversion"/>
  </si>
  <si>
    <t>康旅板块：</t>
    <phoneticPr fontId="1" type="noConversion"/>
  </si>
  <si>
    <t>产业园板块：</t>
    <phoneticPr fontId="1" type="noConversion"/>
  </si>
  <si>
    <t>回款</t>
    <phoneticPr fontId="1" type="noConversion"/>
  </si>
  <si>
    <t>购地金额</t>
    <phoneticPr fontId="1" type="noConversion"/>
  </si>
  <si>
    <t>权益购地金额</t>
    <phoneticPr fontId="1" type="noConversion"/>
  </si>
  <si>
    <t>融资余额</t>
    <phoneticPr fontId="1" type="noConversion"/>
  </si>
  <si>
    <t>计划新获取建筑面积</t>
    <phoneticPr fontId="1" type="noConversion"/>
  </si>
  <si>
    <t>计划新增融资</t>
    <phoneticPr fontId="1" type="noConversion"/>
  </si>
  <si>
    <t>计划签约金额</t>
    <phoneticPr fontId="1" type="noConversion"/>
  </si>
  <si>
    <t>计划销售回款</t>
    <phoneticPr fontId="1" type="noConversion"/>
  </si>
  <si>
    <t>新增融资额</t>
    <phoneticPr fontId="1" type="noConversion"/>
  </si>
  <si>
    <t>营业收入</t>
    <phoneticPr fontId="1" type="noConversion"/>
  </si>
  <si>
    <t>签约</t>
    <phoneticPr fontId="1" type="noConversion"/>
  </si>
  <si>
    <t>金融板块：</t>
    <phoneticPr fontId="1" type="noConversion"/>
  </si>
  <si>
    <t>振兴银行资产规模</t>
    <phoneticPr fontId="1" type="noConversion"/>
  </si>
  <si>
    <t>新增融资平均融资产成本</t>
    <phoneticPr fontId="1" type="noConversion"/>
  </si>
  <si>
    <t>金科股份财务数据</t>
    <phoneticPr fontId="1" type="noConversion"/>
  </si>
  <si>
    <t>归属于上市公司股东的净利润</t>
    <phoneticPr fontId="1" type="noConversion"/>
  </si>
  <si>
    <t>归属于上市公司股东的扣除非经常性损益的净利润</t>
    <phoneticPr fontId="1" type="noConversion"/>
  </si>
  <si>
    <t>归属于上市公司股东的净资产</t>
    <phoneticPr fontId="1" type="noConversion"/>
  </si>
  <si>
    <t>销售金额</t>
    <phoneticPr fontId="1" type="noConversion"/>
  </si>
  <si>
    <t>销售面积</t>
    <phoneticPr fontId="1" type="noConversion"/>
  </si>
  <si>
    <t>新增土地数量</t>
    <phoneticPr fontId="1" type="noConversion"/>
  </si>
  <si>
    <t>新增土地购置金额</t>
    <phoneticPr fontId="1" type="noConversion"/>
  </si>
  <si>
    <t>新增计容建筑面积</t>
    <phoneticPr fontId="1" type="noConversion"/>
  </si>
  <si>
    <t>新增楼面价</t>
    <phoneticPr fontId="1" type="noConversion"/>
  </si>
  <si>
    <t>总可售面积</t>
    <phoneticPr fontId="1" type="noConversion"/>
  </si>
  <si>
    <t>销售回款</t>
    <phoneticPr fontId="1" type="noConversion"/>
  </si>
  <si>
    <t>短期债务</t>
    <phoneticPr fontId="1" type="noConversion"/>
  </si>
  <si>
    <t>现金短债比</t>
    <phoneticPr fontId="1" type="noConversion"/>
  </si>
  <si>
    <t>扣除预收款后的资产负债率</t>
    <phoneticPr fontId="1" type="noConversion"/>
  </si>
  <si>
    <t>净负债率</t>
    <phoneticPr fontId="1" type="noConversion"/>
  </si>
  <si>
    <t>在建项目数量</t>
    <phoneticPr fontId="1" type="noConversion"/>
  </si>
  <si>
    <t>新开工面积</t>
    <phoneticPr fontId="1" type="noConversion"/>
  </si>
  <si>
    <t>竣工面积</t>
    <phoneticPr fontId="1" type="noConversion"/>
  </si>
  <si>
    <t>在建面积</t>
    <phoneticPr fontId="1" type="noConversion"/>
  </si>
  <si>
    <t>有息负债</t>
    <phoneticPr fontId="1" type="noConversion"/>
  </si>
  <si>
    <t>房地产毛利率</t>
    <phoneticPr fontId="1" type="noConversion"/>
  </si>
  <si>
    <t>计划全年销售目标</t>
    <phoneticPr fontId="1" type="noConversion"/>
  </si>
  <si>
    <t>计划新开工面积</t>
    <phoneticPr fontId="1" type="noConversion"/>
  </si>
  <si>
    <t>计划竣工面积</t>
    <phoneticPr fontId="1" type="noConversion"/>
  </si>
  <si>
    <t>计划在建面积</t>
    <phoneticPr fontId="1" type="noConversion"/>
  </si>
  <si>
    <t>分红</t>
    <phoneticPr fontId="1" type="noConversion"/>
  </si>
  <si>
    <t>销售费用</t>
    <phoneticPr fontId="1" type="noConversion"/>
  </si>
  <si>
    <t>管理费用</t>
    <phoneticPr fontId="1" type="noConversion"/>
  </si>
  <si>
    <t>借款费用资本化</t>
    <phoneticPr fontId="1" type="noConversion"/>
  </si>
  <si>
    <t>借款费用资本化率</t>
    <phoneticPr fontId="1" type="noConversion"/>
  </si>
  <si>
    <t>新增土地权益合同金额</t>
    <phoneticPr fontId="1" type="noConversion"/>
  </si>
  <si>
    <t>计划新增可售货值</t>
    <phoneticPr fontId="1" type="noConversion"/>
  </si>
  <si>
    <t>保利主要财务指标</t>
    <phoneticPr fontId="1" type="noConversion"/>
  </si>
  <si>
    <t>有息负债综合融资成本</t>
    <phoneticPr fontId="1" type="noConversion"/>
  </si>
  <si>
    <t>销售回笼</t>
    <phoneticPr fontId="1" type="noConversion"/>
  </si>
  <si>
    <t>信用评级</t>
    <phoneticPr fontId="1" type="noConversion"/>
  </si>
  <si>
    <t>标准普尔</t>
    <phoneticPr fontId="1" type="noConversion"/>
  </si>
  <si>
    <t>BBB</t>
    <phoneticPr fontId="1" type="noConversion"/>
  </si>
  <si>
    <t>Baa2</t>
    <phoneticPr fontId="1" type="noConversion"/>
  </si>
  <si>
    <t>公司品牌价值</t>
    <phoneticPr fontId="1" type="noConversion"/>
  </si>
  <si>
    <t>签约金额</t>
    <phoneticPr fontId="1" type="noConversion"/>
  </si>
  <si>
    <t>市场占有率</t>
    <phoneticPr fontId="1" type="noConversion"/>
  </si>
  <si>
    <t>签约面积</t>
    <phoneticPr fontId="1" type="noConversion"/>
  </si>
  <si>
    <t>新增容积率面积</t>
    <phoneticPr fontId="1" type="noConversion"/>
  </si>
  <si>
    <t>扩展金额权益比例</t>
    <phoneticPr fontId="1" type="noConversion"/>
  </si>
  <si>
    <t>新增权益面积</t>
    <phoneticPr fontId="1" type="noConversion"/>
  </si>
  <si>
    <t>年内扩展平均楼面地价</t>
    <phoneticPr fontId="1" type="noConversion"/>
  </si>
  <si>
    <t>扩展溢价率</t>
    <phoneticPr fontId="1" type="noConversion"/>
  </si>
  <si>
    <t>住宅货量占比</t>
    <phoneticPr fontId="1" type="noConversion"/>
  </si>
  <si>
    <t>核心城市数量</t>
    <phoneticPr fontId="1" type="noConversion"/>
  </si>
  <si>
    <t>核心城市扩展金额占比</t>
    <phoneticPr fontId="1" type="noConversion"/>
  </si>
  <si>
    <t>待开发面积</t>
    <phoneticPr fontId="1" type="noConversion"/>
  </si>
  <si>
    <t>其中核心城市占比</t>
    <phoneticPr fontId="1" type="noConversion"/>
  </si>
  <si>
    <t>净利率</t>
    <phoneticPr fontId="1" type="noConversion"/>
  </si>
  <si>
    <t>销售回笼率</t>
    <phoneticPr fontId="1" type="noConversion"/>
  </si>
  <si>
    <t>核心城市销售贡献占比</t>
    <phoneticPr fontId="1" type="noConversion"/>
  </si>
  <si>
    <t>并购获取项目数量</t>
    <phoneticPr fontId="1" type="noConversion"/>
  </si>
  <si>
    <t>并购新增容积率面积</t>
    <phoneticPr fontId="1" type="noConversion"/>
  </si>
  <si>
    <t>扩展成本（亿元）</t>
    <phoneticPr fontId="1" type="noConversion"/>
  </si>
  <si>
    <t>签约面积（万平，下同）</t>
    <phoneticPr fontId="1" type="noConversion"/>
  </si>
  <si>
    <t>金地主要财务指标</t>
    <phoneticPr fontId="1" type="noConversion"/>
  </si>
  <si>
    <t>债务融资加权平均成本</t>
    <phoneticPr fontId="1" type="noConversion"/>
  </si>
  <si>
    <t>新增土地总投资额</t>
    <phoneticPr fontId="1" type="noConversion"/>
  </si>
  <si>
    <t>权益土地储备</t>
    <phoneticPr fontId="1" type="noConversion"/>
  </si>
  <si>
    <t>总土地储备面积</t>
    <phoneticPr fontId="1" type="noConversion"/>
  </si>
  <si>
    <t>房地产结算毛利率</t>
    <phoneticPr fontId="1" type="noConversion"/>
  </si>
  <si>
    <t>BB</t>
    <phoneticPr fontId="1" type="noConversion"/>
  </si>
  <si>
    <t>Ba2</t>
    <phoneticPr fontId="1" type="noConversion"/>
  </si>
  <si>
    <t>债务融资余额</t>
    <phoneticPr fontId="1" type="noConversion"/>
  </si>
  <si>
    <t>利息资本化金额</t>
    <phoneticPr fontId="1" type="noConversion"/>
  </si>
  <si>
    <t>实际开工面积</t>
    <phoneticPr fontId="1" type="noConversion"/>
  </si>
  <si>
    <t>实际竣工面积</t>
    <phoneticPr fontId="1" type="noConversion"/>
  </si>
  <si>
    <t>新增权益储备面积</t>
    <phoneticPr fontId="1" type="noConversion"/>
  </si>
  <si>
    <t>新增权益投资额</t>
    <phoneticPr fontId="1" type="noConversion"/>
  </si>
  <si>
    <t>蓝光主要财务指标</t>
    <phoneticPr fontId="1" type="noConversion"/>
  </si>
  <si>
    <t>权益销售面积</t>
    <phoneticPr fontId="1" type="noConversion"/>
  </si>
  <si>
    <t>评级</t>
    <phoneticPr fontId="1" type="noConversion"/>
  </si>
  <si>
    <t>大公国际</t>
    <phoneticPr fontId="1" type="noConversion"/>
  </si>
  <si>
    <t>B+</t>
    <phoneticPr fontId="1" type="noConversion"/>
  </si>
  <si>
    <t>B1</t>
    <phoneticPr fontId="1" type="noConversion"/>
  </si>
  <si>
    <t>融资总额</t>
    <phoneticPr fontId="1" type="noConversion"/>
  </si>
  <si>
    <t>整体平均融资成本</t>
    <phoneticPr fontId="1" type="noConversion"/>
  </si>
  <si>
    <t>待开发建筑面积</t>
    <phoneticPr fontId="1" type="noConversion"/>
  </si>
  <si>
    <t>AA+</t>
    <phoneticPr fontId="1" type="noConversion"/>
  </si>
  <si>
    <t>销售均价</t>
    <phoneticPr fontId="1" type="noConversion"/>
  </si>
  <si>
    <r>
      <rPr>
        <sz val="11"/>
        <color rgb="FF444444"/>
        <rFont val="宋体"/>
        <family val="3"/>
        <charset val="134"/>
      </rPr>
      <t>今年的借款费用资本化总额</t>
    </r>
    <r>
      <rPr>
        <sz val="11"/>
        <color rgb="FF444444"/>
        <rFont val="Arial"/>
        <family val="2"/>
      </rPr>
      <t>=</t>
    </r>
    <r>
      <rPr>
        <sz val="11"/>
        <color rgb="FF444444"/>
        <rFont val="宋体"/>
        <family val="3"/>
        <charset val="134"/>
      </rPr>
      <t>去年的借款费用资本化总额</t>
    </r>
    <r>
      <rPr>
        <sz val="11"/>
        <color rgb="FF444444"/>
        <rFont val="Arial"/>
        <family val="2"/>
      </rPr>
      <t>-</t>
    </r>
    <r>
      <rPr>
        <sz val="11"/>
        <color rgb="FF444444"/>
        <rFont val="宋体"/>
        <family val="3"/>
        <charset val="134"/>
      </rPr>
      <t>已消化掉的利息支出</t>
    </r>
    <r>
      <rPr>
        <sz val="11"/>
        <color rgb="FF444444"/>
        <rFont val="Arial"/>
        <family val="2"/>
      </rPr>
      <t>+</t>
    </r>
    <r>
      <rPr>
        <sz val="11"/>
        <color rgb="FF444444"/>
        <rFont val="宋体"/>
        <family val="3"/>
        <charset val="134"/>
      </rPr>
      <t>新增的利息支出</t>
    </r>
    <phoneticPr fontId="1" type="noConversion"/>
  </si>
  <si>
    <t>已消化利息支出</t>
    <phoneticPr fontId="1" type="noConversion"/>
  </si>
  <si>
    <t>去年借款费用资本化+今年利息资本化</t>
    <phoneticPr fontId="1" type="noConversion"/>
  </si>
  <si>
    <t>借款费用资本化</t>
    <phoneticPr fontId="1" type="noConversion"/>
  </si>
  <si>
    <t>当年借款费用合计</t>
    <phoneticPr fontId="1" type="noConversion"/>
  </si>
  <si>
    <t>实际利息支出</t>
    <phoneticPr fontId="1" type="noConversion"/>
  </si>
  <si>
    <t>费用化利息</t>
    <phoneticPr fontId="1" type="noConversion"/>
  </si>
  <si>
    <t>实际利息支出（计算）</t>
    <phoneticPr fontId="1" type="noConversion"/>
  </si>
  <si>
    <t>费用化利息=实际利息支出-利息资本化</t>
    <phoneticPr fontId="1" type="noConversion"/>
  </si>
  <si>
    <t>已消化利息支出（计算）</t>
    <phoneticPr fontId="1" type="noConversion"/>
  </si>
  <si>
    <t>没有资本化的利息支出</t>
    <phoneticPr fontId="1" type="noConversion"/>
  </si>
  <si>
    <t>销售均价</t>
    <phoneticPr fontId="1" type="noConversion"/>
  </si>
  <si>
    <t>新增土储楼面价</t>
    <phoneticPr fontId="1" type="noConversion"/>
  </si>
  <si>
    <t>利息费用</t>
    <phoneticPr fontId="1" type="noConversion"/>
  </si>
  <si>
    <t>永续债利息支出</t>
    <phoneticPr fontId="1" type="noConversion"/>
  </si>
  <si>
    <t>利息费用</t>
    <phoneticPr fontId="1" type="noConversion"/>
  </si>
  <si>
    <t>净负债率</t>
    <phoneticPr fontId="1" type="noConversion"/>
  </si>
  <si>
    <t>非控制权益</t>
    <phoneticPr fontId="1" type="noConversion"/>
  </si>
  <si>
    <t>本公司拥有人应占权益</t>
    <phoneticPr fontId="1" type="noConversion"/>
  </si>
  <si>
    <t>2016年</t>
    <phoneticPr fontId="1" type="noConversion"/>
  </si>
  <si>
    <t>2015年</t>
    <phoneticPr fontId="1" type="noConversion"/>
  </si>
  <si>
    <t>在手资源/在建面积</t>
    <phoneticPr fontId="1" type="noConversion"/>
  </si>
  <si>
    <t>剔除预收款资产负债率</t>
    <phoneticPr fontId="1" type="noConversion"/>
  </si>
  <si>
    <t>现金短债比</t>
    <phoneticPr fontId="1" type="noConversion"/>
  </si>
  <si>
    <t>归母净利润</t>
    <phoneticPr fontId="1" type="noConversion"/>
  </si>
  <si>
    <t>分红</t>
    <phoneticPr fontId="1" type="noConversion"/>
  </si>
  <si>
    <t>分红占归母净利润比率</t>
    <phoneticPr fontId="1" type="noConversion"/>
  </si>
  <si>
    <t>少数股东权益</t>
    <phoneticPr fontId="1" type="noConversion"/>
  </si>
  <si>
    <t>ROE</t>
    <phoneticPr fontId="1" type="noConversion"/>
  </si>
  <si>
    <t>销售均价</t>
    <phoneticPr fontId="1" type="noConversion"/>
  </si>
  <si>
    <t>归属于上市公司股东的扣除非经常性损益的净利润</t>
    <phoneticPr fontId="1" type="noConversion"/>
  </si>
  <si>
    <t>房地产结算收入（亿元）</t>
    <phoneticPr fontId="1" type="noConversion"/>
  </si>
  <si>
    <t>已售未结合同销售额（亿元）</t>
    <phoneticPr fontId="1" type="noConversion"/>
  </si>
  <si>
    <t>现金短债比</t>
    <phoneticPr fontId="1" type="noConversion"/>
  </si>
  <si>
    <t>净负债率</t>
    <phoneticPr fontId="1" type="noConversion"/>
  </si>
  <si>
    <t>总负债率</t>
    <phoneticPr fontId="1" type="noConversion"/>
  </si>
  <si>
    <t>销售费用</t>
    <phoneticPr fontId="1" type="noConversion"/>
  </si>
  <si>
    <t>分红金额</t>
    <phoneticPr fontId="1" type="noConversion"/>
  </si>
  <si>
    <t>房地产结算收入</t>
    <phoneticPr fontId="1" type="noConversion"/>
  </si>
  <si>
    <t>购地金额</t>
    <phoneticPr fontId="1" type="noConversion"/>
  </si>
  <si>
    <t>权益购地金额</t>
    <phoneticPr fontId="1" type="noConversion"/>
  </si>
  <si>
    <t>中梁控股财务数据</t>
    <phoneticPr fontId="1" type="noConversion"/>
  </si>
  <si>
    <t>本集团的拥有人应佔核心淨利润</t>
    <phoneticPr fontId="1" type="noConversion"/>
  </si>
  <si>
    <t>土地投资总额</t>
    <phoneticPr fontId="1" type="noConversion"/>
  </si>
  <si>
    <t>获取土地数量（宗）</t>
    <phoneticPr fontId="1" type="noConversion"/>
  </si>
  <si>
    <t>新增土储建面</t>
    <phoneticPr fontId="1" type="noConversion"/>
  </si>
  <si>
    <t>加权平均融资成本</t>
    <phoneticPr fontId="1" type="noConversion"/>
  </si>
  <si>
    <t>其中附属公司销售额</t>
    <phoneticPr fontId="1" type="noConversion"/>
  </si>
  <si>
    <t>土地储备总量万㎡）</t>
    <phoneticPr fontId="1" type="noConversion"/>
  </si>
  <si>
    <t>本集团应占土地储备总量</t>
    <phoneticPr fontId="1" type="noConversion"/>
  </si>
  <si>
    <t>非控股权益</t>
    <phoneticPr fontId="1" type="noConversion"/>
  </si>
  <si>
    <t>年內溢利</t>
    <phoneticPr fontId="1" type="noConversion"/>
  </si>
  <si>
    <t>销售均价</t>
    <phoneticPr fontId="1" type="noConversion"/>
  </si>
  <si>
    <t>2021H1</t>
    <phoneticPr fontId="1" type="noConversion"/>
  </si>
  <si>
    <t>归母净利润</t>
    <phoneticPr fontId="1" type="noConversion"/>
  </si>
  <si>
    <t>现金及银行存款</t>
    <phoneticPr fontId="1" type="noConversion"/>
  </si>
  <si>
    <t>合同销售之现金回款率</t>
    <phoneticPr fontId="1" type="noConversion"/>
  </si>
  <si>
    <t>新增拿地金额（亿元）</t>
    <phoneticPr fontId="1" type="noConversion"/>
  </si>
  <si>
    <t>土地储备楼面面积</t>
    <phoneticPr fontId="1" type="noConversion"/>
  </si>
  <si>
    <t>土储权益比</t>
    <phoneticPr fontId="1" type="noConversion"/>
  </si>
  <si>
    <t>其中：应占土储面积</t>
    <phoneticPr fontId="1" type="noConversion"/>
  </si>
  <si>
    <t>合同负债</t>
    <phoneticPr fontId="1" type="noConversion"/>
  </si>
  <si>
    <t>分红占净利润比</t>
    <phoneticPr fontId="1" type="noConversion"/>
  </si>
  <si>
    <t>宏洋财务指标</t>
    <phoneticPr fontId="1" type="noConversion"/>
  </si>
  <si>
    <t>受限现金及存款</t>
    <phoneticPr fontId="1" type="noConversion"/>
  </si>
  <si>
    <t>新增项目数量</t>
    <phoneticPr fontId="1" type="noConversion"/>
  </si>
  <si>
    <t>受限现金及存款</t>
    <phoneticPr fontId="1" type="noConversion"/>
  </si>
  <si>
    <t>2021H1</t>
    <phoneticPr fontId="1" type="noConversion"/>
  </si>
  <si>
    <t>预收款</t>
    <phoneticPr fontId="1" type="noConversion"/>
  </si>
  <si>
    <t>中海历年主要财务指标</t>
    <phoneticPr fontId="1" type="noConversion"/>
  </si>
  <si>
    <t>华发历年主要财务指标</t>
    <phoneticPr fontId="1" type="noConversion"/>
  </si>
  <si>
    <t>2021H1</t>
    <phoneticPr fontId="1" type="noConversion"/>
  </si>
  <si>
    <t>加权平均借贷成本</t>
    <phoneticPr fontId="1" type="noConversion"/>
  </si>
  <si>
    <t>新购土地权益地价（亿元）</t>
    <phoneticPr fontId="1" type="noConversion"/>
  </si>
  <si>
    <t>可动用现金余额（亿元）</t>
    <phoneticPr fontId="1" type="noConversion"/>
  </si>
  <si>
    <t>预收款</t>
    <phoneticPr fontId="1" type="noConversion"/>
  </si>
  <si>
    <t>非控制性权益</t>
    <phoneticPr fontId="1" type="noConversion"/>
  </si>
  <si>
    <t>受限制现金</t>
    <phoneticPr fontId="1" type="noConversion"/>
  </si>
  <si>
    <t>预售监管资金</t>
    <phoneticPr fontId="1" type="noConversion"/>
  </si>
  <si>
    <t>总借贷（亿元）</t>
    <phoneticPr fontId="1" type="noConversion"/>
  </si>
  <si>
    <t>短期借贷（亿元）</t>
    <phoneticPr fontId="1" type="noConversion"/>
  </si>
  <si>
    <t>权益合约销售面积（万㎡）</t>
    <phoneticPr fontId="1" type="noConversion"/>
  </si>
  <si>
    <t>权益合约销售额（亿元）</t>
    <phoneticPr fontId="1" type="noConversion"/>
  </si>
  <si>
    <t>归母净利率</t>
    <phoneticPr fontId="1" type="noConversion"/>
  </si>
  <si>
    <t>投资物业公允价值变动（亿元）</t>
    <phoneticPr fontId="1" type="noConversion"/>
  </si>
  <si>
    <t>有息负债（亿元）</t>
    <phoneticPr fontId="1" type="noConversion"/>
  </si>
  <si>
    <t>银行结余及现金（亿元）</t>
    <phoneticPr fontId="1" type="noConversion"/>
  </si>
  <si>
    <t>营业收入（亿元）</t>
    <phoneticPr fontId="1" type="noConversion"/>
  </si>
  <si>
    <t>归母净利率</t>
    <phoneticPr fontId="1" type="noConversion"/>
  </si>
  <si>
    <t>股本回报率</t>
    <phoneticPr fontId="1" type="noConversion"/>
  </si>
  <si>
    <t>资产负债率</t>
    <phoneticPr fontId="1" type="noConversion"/>
  </si>
  <si>
    <t>本集团新增项目数量</t>
    <phoneticPr fontId="1" type="noConversion"/>
  </si>
  <si>
    <t>本集团新增土储建面（万㎡）</t>
    <phoneticPr fontId="1" type="noConversion"/>
  </si>
  <si>
    <t>本集团系列公司新增项目数量</t>
    <phoneticPr fontId="1" type="noConversion"/>
  </si>
  <si>
    <t>本集团系列公司购地金额（亿元）</t>
    <phoneticPr fontId="1" type="noConversion"/>
  </si>
  <si>
    <t>本集团系列公司新增货值（亿元）</t>
    <phoneticPr fontId="1" type="noConversion"/>
  </si>
  <si>
    <t>销售建面（万㎡）</t>
    <phoneticPr fontId="1" type="noConversion"/>
  </si>
  <si>
    <t>本集团系列公司土储面积（含中海宏洋，万㎡）</t>
    <phoneticPr fontId="1" type="noConversion"/>
  </si>
  <si>
    <t>本集团系列公司权益土储面积（含中海宏洋，万㎡）</t>
    <phoneticPr fontId="1" type="noConversion"/>
  </si>
  <si>
    <t>可动用资金（亿元）</t>
    <phoneticPr fontId="1" type="noConversion"/>
  </si>
  <si>
    <t>受规管的物业预售所得款（亿元）</t>
    <phoneticPr fontId="1" type="noConversion"/>
  </si>
  <si>
    <t>未动用银行授信额度（亿元）</t>
    <phoneticPr fontId="1" type="noConversion"/>
  </si>
  <si>
    <t>扣除公允价值变动后的股东应占溢利</t>
    <phoneticPr fontId="1" type="noConversion"/>
  </si>
  <si>
    <t>派息比率</t>
    <phoneticPr fontId="1" type="noConversion"/>
  </si>
  <si>
    <t>土储面积（用于发展物业之土地，万㎡）</t>
    <phoneticPr fontId="1" type="noConversion"/>
  </si>
  <si>
    <t>本集团系列公司新增楼面面积（万㎡）</t>
    <phoneticPr fontId="1" type="noConversion"/>
  </si>
  <si>
    <t>短期债务</t>
    <phoneticPr fontId="1" type="noConversion"/>
  </si>
  <si>
    <t>少数股东权益</t>
    <phoneticPr fontId="1" type="noConversion"/>
  </si>
  <si>
    <t>利息支出</t>
    <phoneticPr fontId="1" type="noConversion"/>
  </si>
  <si>
    <r>
      <rPr>
        <sz val="10"/>
        <color theme="1"/>
        <rFont val="宋体"/>
        <family val="3"/>
        <charset val="134"/>
      </rPr>
      <t>新增</t>
    </r>
    <r>
      <rPr>
        <sz val="10"/>
        <color theme="1"/>
        <rFont val="Times New Roman"/>
        <family val="1"/>
      </rPr>
      <t>972</t>
    </r>
    <r>
      <rPr>
        <sz val="10"/>
        <color theme="1"/>
        <rFont val="宋体"/>
        <family val="3"/>
        <charset val="134"/>
      </rPr>
      <t>万方</t>
    </r>
    <r>
      <rPr>
        <sz val="10"/>
        <color theme="1"/>
        <rFont val="Times New Roman"/>
        <family val="1"/>
      </rPr>
      <t>+</t>
    </r>
    <r>
      <rPr>
        <sz val="10"/>
        <color theme="1"/>
        <rFont val="宋体"/>
        <family val="3"/>
        <charset val="134"/>
      </rPr>
      <t>收购中信资产</t>
    </r>
    <r>
      <rPr>
        <sz val="10"/>
        <color theme="1"/>
        <rFont val="Times New Roman"/>
        <family val="1"/>
      </rPr>
      <t>3155</t>
    </r>
    <r>
      <rPr>
        <sz val="10"/>
        <color theme="1"/>
        <rFont val="宋体"/>
        <family val="3"/>
        <charset val="134"/>
      </rPr>
      <t>万方</t>
    </r>
    <phoneticPr fontId="1" type="noConversion"/>
  </si>
  <si>
    <t>主营收</t>
    <phoneticPr fontId="1" type="noConversion"/>
  </si>
  <si>
    <t>归母净利润</t>
    <phoneticPr fontId="1" type="noConversion"/>
  </si>
  <si>
    <t>归母净利率</t>
    <phoneticPr fontId="1" type="noConversion"/>
  </si>
  <si>
    <t>归母净利率</t>
    <phoneticPr fontId="1" type="noConversion"/>
  </si>
  <si>
    <t>营业收入</t>
    <phoneticPr fontId="1" type="noConversion"/>
  </si>
  <si>
    <t>营业收入</t>
    <phoneticPr fontId="1" type="noConversion"/>
  </si>
  <si>
    <t>金茂历年主要财务指标</t>
    <phoneticPr fontId="1" type="noConversion"/>
  </si>
  <si>
    <t>本公司所有者应占溢利（亿元）</t>
    <phoneticPr fontId="1" type="noConversion"/>
  </si>
  <si>
    <t>本公司所有者应占溢利-扣除投资物业公平值收益</t>
    <phoneticPr fontId="1" type="noConversion"/>
  </si>
  <si>
    <t>扣除投资物业公平值收益的归母净利率</t>
    <phoneticPr fontId="1" type="noConversion"/>
  </si>
  <si>
    <t>已签约未交付结算的金额（亿元）</t>
    <phoneticPr fontId="1" type="noConversion"/>
  </si>
  <si>
    <t>集团整体毛利率</t>
    <phoneticPr fontId="1" type="noConversion"/>
  </si>
  <si>
    <t>城市运营及物业开发毛利率</t>
    <phoneticPr fontId="1" type="noConversion"/>
  </si>
  <si>
    <t>现金和现金等价物</t>
    <phoneticPr fontId="1" type="noConversion"/>
  </si>
  <si>
    <t>短期负债</t>
    <phoneticPr fontId="1" type="noConversion"/>
  </si>
  <si>
    <t>归母净资产</t>
    <phoneticPr fontId="1" type="noConversion"/>
  </si>
  <si>
    <t>2021H1</t>
    <phoneticPr fontId="1" type="noConversion"/>
  </si>
  <si>
    <t>营业收入</t>
    <phoneticPr fontId="1" type="noConversion"/>
  </si>
  <si>
    <t>毛利率</t>
    <phoneticPr fontId="1" type="noConversion"/>
  </si>
  <si>
    <t>在手现金</t>
    <phoneticPr fontId="1" type="noConversion"/>
  </si>
  <si>
    <t>投资物业公平值变动</t>
    <phoneticPr fontId="1" type="noConversion"/>
  </si>
  <si>
    <t>合约负债</t>
    <phoneticPr fontId="1" type="noConversion"/>
  </si>
  <si>
    <t>核心权益后利润率</t>
    <phoneticPr fontId="1" type="noConversion"/>
  </si>
  <si>
    <t>归母净利率</t>
    <phoneticPr fontId="1" type="noConversion"/>
  </si>
  <si>
    <t>扣除重估归母净利率</t>
    <phoneticPr fontId="1" type="noConversion"/>
  </si>
  <si>
    <t>2021H1</t>
    <phoneticPr fontId="1" type="noConversion"/>
  </si>
  <si>
    <t>营业收入</t>
    <phoneticPr fontId="1" type="noConversion"/>
  </si>
  <si>
    <t>归母净利润</t>
    <phoneticPr fontId="1" type="noConversion"/>
  </si>
  <si>
    <t>归母净利率</t>
    <phoneticPr fontId="1" type="noConversion"/>
  </si>
  <si>
    <t>短期负债</t>
    <phoneticPr fontId="1" type="noConversion"/>
  </si>
  <si>
    <t>现金短债比</t>
    <phoneticPr fontId="1" type="noConversion"/>
  </si>
  <si>
    <t>ROE</t>
    <phoneticPr fontId="1" type="noConversion"/>
  </si>
  <si>
    <t>2021H1</t>
    <phoneticPr fontId="1" type="noConversion"/>
  </si>
  <si>
    <t>主营收</t>
    <phoneticPr fontId="1" type="noConversion"/>
  </si>
  <si>
    <t>新增预计可售金额（亿元）</t>
    <phoneticPr fontId="1" type="noConversion"/>
  </si>
  <si>
    <t>银行存款及现金</t>
    <phoneticPr fontId="1" type="noConversion"/>
  </si>
  <si>
    <t>管理费用</t>
    <phoneticPr fontId="1" type="noConversion"/>
  </si>
  <si>
    <t>销售费用</t>
    <phoneticPr fontId="1" type="noConversion"/>
  </si>
  <si>
    <t>合同负债</t>
    <phoneticPr fontId="1" type="noConversion"/>
  </si>
  <si>
    <t>新增权益货值</t>
    <phoneticPr fontId="1" type="noConversion"/>
  </si>
  <si>
    <t>新增由绿城承担的成本</t>
    <phoneticPr fontId="1" type="noConversion"/>
  </si>
  <si>
    <t>一二线土储可售货值占比</t>
    <phoneticPr fontId="1" type="noConversion"/>
  </si>
  <si>
    <t>已售未结转金额</t>
    <phoneticPr fontId="1" type="noConversion"/>
  </si>
  <si>
    <t>已售未结转权益金额</t>
    <phoneticPr fontId="1" type="noConversion"/>
  </si>
  <si>
    <t>自投项目去化率</t>
    <phoneticPr fontId="1" type="noConversion"/>
  </si>
  <si>
    <t>物业销售毛利率</t>
    <phoneticPr fontId="1" type="noConversion"/>
  </si>
  <si>
    <t>归母净利率</t>
    <phoneticPr fontId="1" type="noConversion"/>
  </si>
  <si>
    <t>2021H1</t>
    <phoneticPr fontId="1" type="noConversion"/>
  </si>
  <si>
    <t>预收款</t>
    <phoneticPr fontId="1" type="noConversion"/>
  </si>
  <si>
    <t>归母净利润</t>
    <phoneticPr fontId="1" type="noConversion"/>
  </si>
  <si>
    <t>营业收入</t>
    <phoneticPr fontId="1" type="noConversion"/>
  </si>
  <si>
    <t>归母净利率</t>
    <phoneticPr fontId="1" type="noConversion"/>
  </si>
  <si>
    <t>货币资金</t>
    <phoneticPr fontId="1" type="noConversion"/>
  </si>
  <si>
    <t>累计成本地价（元/㎡）</t>
    <phoneticPr fontId="1" type="noConversion"/>
  </si>
  <si>
    <t>新增综合楼面价（元/㎡）</t>
    <phoneticPr fontId="1" type="noConversion"/>
  </si>
  <si>
    <t>短期负债</t>
    <phoneticPr fontId="1" type="noConversion"/>
  </si>
  <si>
    <t>ROE</t>
    <phoneticPr fontId="1" type="noConversion"/>
  </si>
  <si>
    <t>已售未结合同销售额（亿元）</t>
    <phoneticPr fontId="1" type="noConversion"/>
  </si>
  <si>
    <t>货币资金</t>
    <phoneticPr fontId="1" type="noConversion"/>
  </si>
  <si>
    <t>短期负债</t>
    <phoneticPr fontId="1" type="noConversion"/>
  </si>
  <si>
    <t>营业收入</t>
    <phoneticPr fontId="1" type="noConversion"/>
  </si>
  <si>
    <t>现金短债比</t>
    <phoneticPr fontId="1" type="noConversion"/>
  </si>
  <si>
    <t>2021H1</t>
    <phoneticPr fontId="1" type="noConversion"/>
  </si>
  <si>
    <t>少数股东权益</t>
    <phoneticPr fontId="1" type="noConversion"/>
  </si>
  <si>
    <t>手头现金</t>
    <phoneticPr fontId="1" type="noConversion"/>
  </si>
  <si>
    <t>永久资本工具</t>
    <phoneticPr fontId="1" type="noConversion"/>
  </si>
  <si>
    <t>短期负债</t>
    <phoneticPr fontId="1" type="noConversion"/>
  </si>
  <si>
    <t>90%+</t>
    <phoneticPr fontId="1" type="noConversion"/>
  </si>
  <si>
    <t>新增土储成本（元/㎡）</t>
    <phoneticPr fontId="1" type="noConversion"/>
  </si>
  <si>
    <t>核心平均股本回报率</t>
    <phoneticPr fontId="1" type="noConversion"/>
  </si>
  <si>
    <t>预收款</t>
    <phoneticPr fontId="1" type="noConversion"/>
  </si>
  <si>
    <t>2021H1</t>
    <phoneticPr fontId="1" type="noConversion"/>
  </si>
  <si>
    <t>营业收入</t>
    <phoneticPr fontId="1" type="noConversion"/>
  </si>
  <si>
    <t>少数股东权益</t>
    <phoneticPr fontId="1" type="noConversion"/>
  </si>
  <si>
    <t>预收款</t>
    <phoneticPr fontId="1" type="noConversion"/>
  </si>
  <si>
    <t>62城</t>
    <phoneticPr fontId="1" type="noConversion"/>
  </si>
  <si>
    <t>销售费用</t>
    <phoneticPr fontId="1" type="noConversion"/>
  </si>
  <si>
    <t>管理费用</t>
    <phoneticPr fontId="1" type="noConversion"/>
  </si>
  <si>
    <t>有息负债</t>
    <phoneticPr fontId="1" type="noConversion"/>
  </si>
  <si>
    <t>现金及银行存款</t>
    <phoneticPr fontId="1" type="noConversion"/>
  </si>
  <si>
    <t>59城</t>
    <phoneticPr fontId="1" type="noConversion"/>
  </si>
  <si>
    <t>48城</t>
    <phoneticPr fontId="1" type="noConversion"/>
  </si>
  <si>
    <t>归母净利率</t>
    <phoneticPr fontId="1" type="noConversion"/>
  </si>
  <si>
    <t>综合毛利率</t>
    <phoneticPr fontId="1" type="noConversion"/>
  </si>
  <si>
    <t>受限资金</t>
    <phoneticPr fontId="1" type="noConversion"/>
  </si>
  <si>
    <t>经营性现金流入</t>
    <phoneticPr fontId="1" type="noConversion"/>
  </si>
  <si>
    <t>预收款</t>
    <phoneticPr fontId="1" type="noConversion"/>
  </si>
  <si>
    <t>少数股东权益</t>
    <phoneticPr fontId="1" type="noConversion"/>
  </si>
  <si>
    <t>房地产结算毛利率</t>
    <phoneticPr fontId="1" type="noConversion"/>
  </si>
  <si>
    <t>分配股利、利润或偿付利息支付的现金</t>
    <phoneticPr fontId="1" type="noConversion"/>
  </si>
  <si>
    <t>现金短债比</t>
    <phoneticPr fontId="1" type="noConversion"/>
  </si>
  <si>
    <t>预收监管资金</t>
    <phoneticPr fontId="1" type="noConversion"/>
  </si>
  <si>
    <t>净负债率</t>
    <phoneticPr fontId="1" type="noConversion"/>
  </si>
  <si>
    <t>剔除预收款后的资产负债率</t>
  </si>
  <si>
    <t>剔除预收款后的资产负债率</t>
    <phoneticPr fontId="1" type="noConversion"/>
  </si>
  <si>
    <t>少数股东权益</t>
    <phoneticPr fontId="1" type="noConversion"/>
  </si>
  <si>
    <t>预收款</t>
    <phoneticPr fontId="1" type="noConversion"/>
  </si>
  <si>
    <t>货币资金</t>
    <phoneticPr fontId="1" type="noConversion"/>
  </si>
  <si>
    <t>受限资金</t>
    <phoneticPr fontId="1" type="noConversion"/>
  </si>
  <si>
    <t>2021H1</t>
    <phoneticPr fontId="1" type="noConversion"/>
  </si>
  <si>
    <t>预售监管资金</t>
    <phoneticPr fontId="1" type="noConversion"/>
  </si>
  <si>
    <t>有息负债</t>
    <phoneticPr fontId="1" type="noConversion"/>
  </si>
  <si>
    <t>短期负债</t>
    <phoneticPr fontId="1" type="noConversion"/>
  </si>
  <si>
    <t>经营性现金流入</t>
    <phoneticPr fontId="1" type="noConversion"/>
  </si>
  <si>
    <t>营业收入</t>
    <phoneticPr fontId="1" type="noConversion"/>
  </si>
  <si>
    <t>归母净利率</t>
    <phoneticPr fontId="1" type="noConversion"/>
  </si>
  <si>
    <t>归母净利润</t>
    <phoneticPr fontId="1" type="noConversion"/>
  </si>
  <si>
    <t>销售额*回款率*权益比=现金流入</t>
    <phoneticPr fontId="1" type="noConversion"/>
  </si>
  <si>
    <t>2021H1</t>
    <phoneticPr fontId="1" type="noConversion"/>
  </si>
  <si>
    <t>少数股东权益</t>
    <phoneticPr fontId="1" type="noConversion"/>
  </si>
  <si>
    <t>预售监管资金</t>
    <phoneticPr fontId="1" type="noConversion"/>
  </si>
  <si>
    <t>现金短债比</t>
    <phoneticPr fontId="1" type="noConversion"/>
  </si>
  <si>
    <t>投资收益</t>
    <phoneticPr fontId="1" type="noConversion"/>
  </si>
  <si>
    <t>来自合联营公司的权益净利润</t>
    <phoneticPr fontId="1" type="noConversion"/>
  </si>
  <si>
    <t>剔除预收款项的资产负债率</t>
    <phoneticPr fontId="1" type="noConversion"/>
  </si>
  <si>
    <t>预收款</t>
    <phoneticPr fontId="1" type="noConversion"/>
  </si>
  <si>
    <t>去年同期8.55%</t>
    <phoneticPr fontId="1" type="noConversion"/>
  </si>
  <si>
    <t>2021H1备注</t>
    <phoneticPr fontId="1" type="noConversion"/>
  </si>
  <si>
    <t>同比增27%</t>
    <phoneticPr fontId="1" type="noConversion"/>
  </si>
  <si>
    <t>同比降-11.68%</t>
    <phoneticPr fontId="1" type="noConversion"/>
  </si>
  <si>
    <t>全年同期26.9</t>
    <phoneticPr fontId="1" type="noConversion"/>
  </si>
  <si>
    <t>去年同期17.1</t>
    <phoneticPr fontId="1" type="noConversion"/>
  </si>
  <si>
    <t>同比增10.6%</t>
    <phoneticPr fontId="1" type="noConversion"/>
  </si>
  <si>
    <t>同比增5.5%</t>
    <phoneticPr fontId="1" type="noConversion"/>
  </si>
  <si>
    <t>同比增6.2%</t>
    <phoneticPr fontId="1" type="noConversion"/>
  </si>
  <si>
    <t>同比增11.9%</t>
    <phoneticPr fontId="1" type="noConversion"/>
  </si>
  <si>
    <t>去年同期31.85</t>
    <phoneticPr fontId="1" type="noConversion"/>
  </si>
  <si>
    <t>去年同期46.16</t>
    <phoneticPr fontId="1" type="noConversion"/>
  </si>
  <si>
    <t>2021H1</t>
    <phoneticPr fontId="1" type="noConversion"/>
  </si>
  <si>
    <t>少数股东权益</t>
    <phoneticPr fontId="1" type="noConversion"/>
  </si>
  <si>
    <t>预收款</t>
    <phoneticPr fontId="1" type="noConversion"/>
  </si>
  <si>
    <t>扣非归母净利率</t>
    <phoneticPr fontId="1" type="noConversion"/>
  </si>
  <si>
    <t>去年同期7.3</t>
    <phoneticPr fontId="1" type="noConversion"/>
  </si>
  <si>
    <t>去年同期13.84</t>
    <phoneticPr fontId="1" type="noConversion"/>
  </si>
  <si>
    <t>较年初减35</t>
    <phoneticPr fontId="1" type="noConversion"/>
  </si>
  <si>
    <t>较年初减57</t>
    <phoneticPr fontId="1" type="noConversion"/>
  </si>
  <si>
    <t>同比增45.1%</t>
    <phoneticPr fontId="1" type="noConversion"/>
  </si>
  <si>
    <t>同比增2.49%</t>
    <phoneticPr fontId="1" type="noConversion"/>
  </si>
  <si>
    <t>同比降-13.24%</t>
    <phoneticPr fontId="1" type="noConversion"/>
  </si>
  <si>
    <t>同比增18%</t>
    <phoneticPr fontId="1" type="noConversion"/>
  </si>
  <si>
    <t>同比增17%</t>
    <phoneticPr fontId="1" type="noConversion"/>
  </si>
  <si>
    <t>去年同期1200，同比降22.3%</t>
    <phoneticPr fontId="1" type="noConversion"/>
  </si>
  <si>
    <t>去年同期730，同比增41.1%</t>
    <phoneticPr fontId="1" type="noConversion"/>
  </si>
  <si>
    <t>2021H1</t>
    <phoneticPr fontId="1" type="noConversion"/>
  </si>
  <si>
    <t>少数股东权益</t>
    <phoneticPr fontId="1" type="noConversion"/>
  </si>
  <si>
    <t>营业收入</t>
    <phoneticPr fontId="1" type="noConversion"/>
  </si>
  <si>
    <t>归母净利润</t>
    <phoneticPr fontId="1" type="noConversion"/>
  </si>
  <si>
    <t>扣非归母净利润</t>
    <phoneticPr fontId="1" type="noConversion"/>
  </si>
  <si>
    <t>归母净利率</t>
    <phoneticPr fontId="1" type="noConversion"/>
  </si>
  <si>
    <t>预收款</t>
    <phoneticPr fontId="1" type="noConversion"/>
  </si>
  <si>
    <t>竣工面积</t>
    <phoneticPr fontId="1" type="noConversion"/>
  </si>
  <si>
    <r>
      <rPr>
        <sz val="10"/>
        <color theme="1"/>
        <rFont val="宋体"/>
        <family val="3"/>
        <charset val="134"/>
      </rPr>
      <t>去年同期</t>
    </r>
    <r>
      <rPr>
        <sz val="10"/>
        <color theme="1"/>
        <rFont val="Times New Roman"/>
        <family val="1"/>
      </rPr>
      <t>574.42</t>
    </r>
    <phoneticPr fontId="1" type="noConversion"/>
  </si>
  <si>
    <r>
      <rPr>
        <sz val="10"/>
        <color theme="1"/>
        <rFont val="宋体"/>
        <family val="3"/>
        <charset val="134"/>
      </rPr>
      <t>去年同期</t>
    </r>
    <r>
      <rPr>
        <sz val="10"/>
        <color theme="1"/>
        <rFont val="Times New Roman"/>
        <family val="1"/>
      </rPr>
      <t>526.87</t>
    </r>
    <phoneticPr fontId="1" type="noConversion"/>
  </si>
  <si>
    <r>
      <t>4740</t>
    </r>
    <r>
      <rPr>
        <sz val="10"/>
        <color theme="1"/>
        <rFont val="宋体"/>
        <family val="3"/>
        <charset val="134"/>
      </rPr>
      <t>（含已售未结）</t>
    </r>
    <phoneticPr fontId="1" type="noConversion"/>
  </si>
  <si>
    <r>
      <t>4473</t>
    </r>
    <r>
      <rPr>
        <sz val="10"/>
        <color theme="1"/>
        <rFont val="宋体"/>
        <family val="3"/>
        <charset val="134"/>
      </rPr>
      <t>（含已售未结）</t>
    </r>
    <phoneticPr fontId="1" type="noConversion"/>
  </si>
  <si>
    <t>2021H1</t>
    <phoneticPr fontId="1" type="noConversion"/>
  </si>
  <si>
    <t>少数股东权益</t>
    <phoneticPr fontId="1" type="noConversion"/>
  </si>
  <si>
    <t>现金短债比</t>
    <phoneticPr fontId="1" type="noConversion"/>
  </si>
  <si>
    <t>货币资金</t>
    <phoneticPr fontId="1" type="noConversion"/>
  </si>
  <si>
    <t>受限资金</t>
    <phoneticPr fontId="1" type="noConversion"/>
  </si>
  <si>
    <t>经营性现金流入</t>
    <phoneticPr fontId="1" type="noConversion"/>
  </si>
  <si>
    <t>扣非归母净利润</t>
    <phoneticPr fontId="1" type="noConversion"/>
  </si>
  <si>
    <t>扣非归母净利率</t>
    <phoneticPr fontId="1" type="noConversion"/>
  </si>
  <si>
    <t>短期负债</t>
    <phoneticPr fontId="1" type="noConversion"/>
  </si>
  <si>
    <t>资产负债率</t>
    <phoneticPr fontId="1" type="noConversion"/>
  </si>
  <si>
    <t>预售监管资金</t>
    <phoneticPr fontId="1" type="noConversion"/>
  </si>
  <si>
    <t>同比增15%</t>
    <phoneticPr fontId="1" type="noConversion"/>
  </si>
  <si>
    <t>同比增63%</t>
    <phoneticPr fontId="1" type="noConversion"/>
  </si>
  <si>
    <t>同比增72.45%</t>
    <phoneticPr fontId="1" type="noConversion"/>
  </si>
  <si>
    <t>去年同期6.29</t>
    <phoneticPr fontId="1" type="noConversion"/>
  </si>
  <si>
    <t>去年同期18.84</t>
    <phoneticPr fontId="1" type="noConversion"/>
  </si>
  <si>
    <t>同比增55.27%</t>
    <phoneticPr fontId="1" type="noConversion"/>
  </si>
  <si>
    <t>同比增60.22%</t>
    <phoneticPr fontId="1" type="noConversion"/>
  </si>
  <si>
    <t>同比降38.79%</t>
    <phoneticPr fontId="1" type="noConversion"/>
  </si>
  <si>
    <t>预收款</t>
    <phoneticPr fontId="1" type="noConversion"/>
  </si>
  <si>
    <t>营业收入</t>
    <phoneticPr fontId="1" type="noConversion"/>
  </si>
  <si>
    <t>归母净利率</t>
    <phoneticPr fontId="1" type="noConversion"/>
  </si>
  <si>
    <t>同比增64.3%</t>
    <phoneticPr fontId="1" type="noConversion"/>
  </si>
  <si>
    <t>同比增9.4%</t>
    <phoneticPr fontId="1" type="noConversion"/>
  </si>
  <si>
    <t>现金余额</t>
    <phoneticPr fontId="1" type="noConversion"/>
  </si>
  <si>
    <t>去年同期26.15</t>
    <phoneticPr fontId="1" type="noConversion"/>
  </si>
  <si>
    <t>去年同期36.86</t>
    <phoneticPr fontId="1" type="noConversion"/>
  </si>
  <si>
    <t>受限制现金</t>
    <phoneticPr fontId="1" type="noConversion"/>
  </si>
  <si>
    <t>同比增23.9%</t>
    <phoneticPr fontId="1" type="noConversion"/>
  </si>
  <si>
    <t>新增权益货值</t>
    <phoneticPr fontId="1" type="noConversion"/>
  </si>
  <si>
    <t>权益土储货值</t>
    <phoneticPr fontId="1" type="noConversion"/>
  </si>
  <si>
    <t>去年同期151.79</t>
    <phoneticPr fontId="1" type="noConversion"/>
  </si>
  <si>
    <t>计划开工面积</t>
    <phoneticPr fontId="1" type="noConversion"/>
  </si>
  <si>
    <t>完成：58.1%</t>
    <phoneticPr fontId="1" type="noConversion"/>
  </si>
  <si>
    <r>
      <rPr>
        <sz val="10"/>
        <color theme="1"/>
        <rFont val="宋体"/>
        <family val="3"/>
        <charset val="134"/>
      </rPr>
      <t>完成：31</t>
    </r>
    <r>
      <rPr>
        <sz val="10"/>
        <color theme="1"/>
        <rFont val="Times New Roman"/>
        <family val="1"/>
      </rPr>
      <t>.6%</t>
    </r>
    <phoneticPr fontId="1" type="noConversion"/>
  </si>
  <si>
    <t>结算</t>
    <phoneticPr fontId="1" type="noConversion"/>
  </si>
  <si>
    <t>资本化利息冲销比例</t>
    <phoneticPr fontId="1" type="noConversion"/>
  </si>
  <si>
    <t>销售单价/新增土储平均成本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</si>
</sst>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0_ "/>
    <numFmt numFmtId="178" formatCode="0.00_);[Red]\(0.00\)"/>
    <numFmt numFmtId="179" formatCode="0.0_ "/>
    <numFmt numFmtId="180" formatCode="0_);[Red]\(0\)"/>
    <numFmt numFmtId="181" formatCode="0.0%"/>
    <numFmt numFmtId="182" formatCode="#,##0.00_);[Red]\(#,##0.00\)"/>
  </numFmts>
  <fonts count="3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C00000"/>
      <name val="等线"/>
      <family val="2"/>
      <scheme val="minor"/>
    </font>
    <font>
      <sz val="11"/>
      <color rgb="FF444444"/>
      <name val="Arial"/>
      <family val="2"/>
    </font>
    <font>
      <sz val="11"/>
      <color rgb="FF444444"/>
      <name val="宋体"/>
      <family val="3"/>
      <charset val="134"/>
    </font>
    <font>
      <sz val="11"/>
      <color rgb="FF444444"/>
      <name val="Arial"/>
      <family val="3"/>
      <charset val="134"/>
    </font>
    <font>
      <b/>
      <sz val="11"/>
      <color theme="1" tint="0.3499862666707357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0"/>
      <color theme="0"/>
      <name val="微软雅黑"/>
      <family val="2"/>
      <charset val="134"/>
    </font>
    <font>
      <b/>
      <sz val="10"/>
      <color theme="1" tint="0.34998626667073579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 tint="0.34998626667073579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 Light"/>
      <family val="2"/>
      <charset val="134"/>
    </font>
    <font>
      <b/>
      <sz val="10"/>
      <color theme="1" tint="0.249977111117893"/>
      <name val="微软雅黑 Light"/>
      <family val="2"/>
      <charset val="134"/>
    </font>
    <font>
      <sz val="11"/>
      <color rgb="FFFF0000"/>
      <name val="Times New Roman"/>
      <family val="1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 tint="0.499984740745262"/>
      <name val="微软雅黑"/>
      <family val="2"/>
      <charset val="134"/>
    </font>
    <font>
      <b/>
      <sz val="10"/>
      <color theme="1" tint="0.499984740745262"/>
      <name val="微软雅黑"/>
      <family val="2"/>
      <charset val="134"/>
    </font>
    <font>
      <sz val="11"/>
      <color rgb="FFC00000"/>
      <name val="Times New Roman"/>
      <family val="1"/>
    </font>
    <font>
      <b/>
      <sz val="10"/>
      <color theme="1" tint="0.249977111117893"/>
      <name val="微软雅黑"/>
      <family val="2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0"/>
      <color theme="1"/>
      <name val="Times New Roman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sz val="11"/>
      <color rgb="FF7030A0"/>
      <name val="等线"/>
      <family val="2"/>
      <scheme val="minor"/>
    </font>
    <font>
      <sz val="11"/>
      <color rgb="FF7030A0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 Light"/>
      <family val="2"/>
      <charset val="134"/>
    </font>
    <font>
      <b/>
      <sz val="11"/>
      <color theme="1"/>
      <name val="Times New Roman"/>
      <family val="1"/>
    </font>
    <font>
      <sz val="11"/>
      <color theme="1"/>
      <name val="Times New Roma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68">
    <xf numFmtId="0" fontId="0" fillId="0" borderId="0" xfId="0"/>
    <xf numFmtId="0" fontId="0" fillId="0" borderId="3" xfId="0" applyBorder="1"/>
    <xf numFmtId="0" fontId="0" fillId="0" borderId="4" xfId="0" applyBorder="1"/>
    <xf numFmtId="10" fontId="0" fillId="0" borderId="4" xfId="0" applyNumberFormat="1" applyBorder="1"/>
    <xf numFmtId="176" fontId="0" fillId="0" borderId="4" xfId="0" applyNumberFormat="1" applyBorder="1"/>
    <xf numFmtId="0" fontId="0" fillId="0" borderId="2" xfId="0" applyBorder="1" applyAlignment="1">
      <alignment vertical="center" wrapText="1"/>
    </xf>
    <xf numFmtId="9" fontId="0" fillId="0" borderId="4" xfId="0" applyNumberFormat="1" applyBorder="1"/>
    <xf numFmtId="177" fontId="0" fillId="0" borderId="4" xfId="0" applyNumberFormat="1" applyBorder="1"/>
    <xf numFmtId="0" fontId="2" fillId="0" borderId="1" xfId="0" applyFont="1" applyBorder="1" applyAlignment="1">
      <alignment vertical="center" wrapText="1"/>
    </xf>
    <xf numFmtId="178" fontId="0" fillId="0" borderId="2" xfId="0" applyNumberFormat="1" applyBorder="1" applyAlignment="1">
      <alignment vertical="center" wrapText="1"/>
    </xf>
    <xf numFmtId="178" fontId="0" fillId="0" borderId="4" xfId="0" applyNumberFormat="1" applyBorder="1"/>
    <xf numFmtId="0" fontId="0" fillId="0" borderId="0" xfId="0" applyAlignment="1">
      <alignment vertical="center" wrapText="1"/>
    </xf>
    <xf numFmtId="179" fontId="0" fillId="0" borderId="0" xfId="0" applyNumberFormat="1"/>
    <xf numFmtId="180" fontId="0" fillId="0" borderId="4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wrapText="1"/>
    </xf>
    <xf numFmtId="181" fontId="0" fillId="0" borderId="4" xfId="0" applyNumberFormat="1" applyBorder="1"/>
    <xf numFmtId="179" fontId="0" fillId="0" borderId="4" xfId="0" applyNumberFormat="1" applyBorder="1"/>
    <xf numFmtId="180" fontId="0" fillId="0" borderId="3" xfId="0" applyNumberFormat="1" applyBorder="1"/>
    <xf numFmtId="0" fontId="2" fillId="0" borderId="5" xfId="0" applyFont="1" applyBorder="1" applyAlignment="1">
      <alignment vertical="center" wrapText="1"/>
    </xf>
    <xf numFmtId="0" fontId="0" fillId="0" borderId="6" xfId="0" applyBorder="1"/>
    <xf numFmtId="0" fontId="0" fillId="0" borderId="7" xfId="0" applyBorder="1" applyAlignment="1">
      <alignment vertical="center" wrapText="1"/>
    </xf>
    <xf numFmtId="10" fontId="0" fillId="0" borderId="8" xfId="0" applyNumberFormat="1" applyBorder="1"/>
    <xf numFmtId="0" fontId="0" fillId="0" borderId="8" xfId="0" applyBorder="1"/>
    <xf numFmtId="178" fontId="0" fillId="0" borderId="7" xfId="0" applyNumberFormat="1" applyBorder="1" applyAlignment="1">
      <alignment vertical="center" wrapText="1"/>
    </xf>
    <xf numFmtId="178" fontId="0" fillId="0" borderId="8" xfId="0" applyNumberFormat="1" applyBorder="1"/>
    <xf numFmtId="176" fontId="0" fillId="0" borderId="8" xfId="0" applyNumberFormat="1" applyBorder="1"/>
    <xf numFmtId="177" fontId="0" fillId="0" borderId="8" xfId="0" applyNumberFormat="1" applyBorder="1"/>
    <xf numFmtId="9" fontId="0" fillId="0" borderId="8" xfId="0" applyNumberFormat="1" applyBorder="1"/>
    <xf numFmtId="0" fontId="0" fillId="0" borderId="7" xfId="0" applyBorder="1"/>
    <xf numFmtId="9" fontId="0" fillId="0" borderId="3" xfId="1" applyFont="1" applyBorder="1" applyAlignment="1"/>
    <xf numFmtId="177" fontId="0" fillId="0" borderId="4" xfId="1" applyNumberFormat="1" applyFont="1" applyBorder="1" applyAlignment="1"/>
    <xf numFmtId="9" fontId="0" fillId="0" borderId="4" xfId="1" applyFont="1" applyBorder="1" applyAlignment="1"/>
    <xf numFmtId="0" fontId="5" fillId="0" borderId="4" xfId="0" applyFont="1" applyBorder="1"/>
    <xf numFmtId="0" fontId="0" fillId="0" borderId="4" xfId="0" applyBorder="1" applyAlignment="1">
      <alignment vertical="center"/>
    </xf>
    <xf numFmtId="0" fontId="0" fillId="2" borderId="9" xfId="0" applyFill="1" applyBorder="1"/>
    <xf numFmtId="10" fontId="0" fillId="2" borderId="9" xfId="0" applyNumberFormat="1" applyFill="1" applyBorder="1"/>
    <xf numFmtId="178" fontId="0" fillId="2" borderId="9" xfId="0" applyNumberFormat="1" applyFill="1" applyBorder="1"/>
    <xf numFmtId="180" fontId="0" fillId="2" borderId="9" xfId="0" applyNumberFormat="1" applyFill="1" applyBorder="1"/>
    <xf numFmtId="176" fontId="0" fillId="2" borderId="9" xfId="0" applyNumberFormat="1" applyFill="1" applyBorder="1"/>
    <xf numFmtId="0" fontId="9" fillId="2" borderId="9" xfId="0" applyFont="1" applyFill="1" applyBorder="1"/>
    <xf numFmtId="0" fontId="0" fillId="2" borderId="9" xfId="0" applyFill="1" applyBorder="1" applyAlignment="1">
      <alignment horizontal="right"/>
    </xf>
    <xf numFmtId="0" fontId="0" fillId="2" borderId="9" xfId="0" applyFill="1" applyBorder="1" applyAlignment="1">
      <alignment vertical="center"/>
    </xf>
    <xf numFmtId="0" fontId="10" fillId="3" borderId="9" xfId="0" applyFont="1" applyFill="1" applyBorder="1" applyAlignment="1">
      <alignment vertical="center"/>
    </xf>
    <xf numFmtId="0" fontId="10" fillId="3" borderId="9" xfId="0" applyFont="1" applyFill="1" applyBorder="1" applyAlignment="1">
      <alignment horizontal="right" vertical="center"/>
    </xf>
    <xf numFmtId="9" fontId="0" fillId="2" borderId="9" xfId="0" applyNumberFormat="1" applyFill="1" applyBorder="1"/>
    <xf numFmtId="0" fontId="10" fillId="4" borderId="9" xfId="0" applyFont="1" applyFill="1" applyBorder="1" applyAlignment="1">
      <alignment vertical="center"/>
    </xf>
    <xf numFmtId="181" fontId="0" fillId="2" borderId="9" xfId="0" applyNumberFormat="1" applyFill="1" applyBorder="1" applyAlignment="1">
      <alignment vertical="center"/>
    </xf>
    <xf numFmtId="9" fontId="0" fillId="2" borderId="9" xfId="0" applyNumberFormat="1" applyFill="1" applyBorder="1" applyAlignment="1">
      <alignment vertical="center"/>
    </xf>
    <xf numFmtId="10" fontId="0" fillId="2" borderId="9" xfId="0" applyNumberFormat="1" applyFill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181" fontId="11" fillId="2" borderId="9" xfId="0" applyNumberFormat="1" applyFont="1" applyFill="1" applyBorder="1" applyAlignment="1">
      <alignment vertical="center"/>
    </xf>
    <xf numFmtId="9" fontId="11" fillId="2" borderId="9" xfId="0" applyNumberFormat="1" applyFont="1" applyFill="1" applyBorder="1" applyAlignment="1">
      <alignment vertical="center"/>
    </xf>
    <xf numFmtId="10" fontId="11" fillId="2" borderId="9" xfId="0" applyNumberFormat="1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3" fillId="2" borderId="9" xfId="0" applyFont="1" applyFill="1" applyBorder="1" applyAlignment="1">
      <alignment vertical="center"/>
    </xf>
    <xf numFmtId="0" fontId="13" fillId="2" borderId="9" xfId="0" applyFont="1" applyFill="1" applyBorder="1" applyAlignment="1">
      <alignment vertical="center" wrapText="1"/>
    </xf>
    <xf numFmtId="181" fontId="13" fillId="2" borderId="9" xfId="0" applyNumberFormat="1" applyFont="1" applyFill="1" applyBorder="1" applyAlignment="1">
      <alignment vertical="center"/>
    </xf>
    <xf numFmtId="9" fontId="13" fillId="2" borderId="9" xfId="0" applyNumberFormat="1" applyFont="1" applyFill="1" applyBorder="1" applyAlignment="1">
      <alignment vertical="center"/>
    </xf>
    <xf numFmtId="10" fontId="13" fillId="2" borderId="9" xfId="0" applyNumberFormat="1" applyFont="1" applyFill="1" applyBorder="1" applyAlignment="1">
      <alignment vertical="center"/>
    </xf>
    <xf numFmtId="0" fontId="13" fillId="2" borderId="9" xfId="0" applyFont="1" applyFill="1" applyBorder="1"/>
    <xf numFmtId="10" fontId="10" fillId="3" borderId="9" xfId="0" applyNumberFormat="1" applyFont="1" applyFill="1" applyBorder="1" applyAlignment="1">
      <alignment vertical="center"/>
    </xf>
    <xf numFmtId="178" fontId="10" fillId="3" borderId="9" xfId="0" applyNumberFormat="1" applyFont="1" applyFill="1" applyBorder="1" applyAlignment="1">
      <alignment vertical="center"/>
    </xf>
    <xf numFmtId="180" fontId="10" fillId="3" borderId="9" xfId="0" applyNumberFormat="1" applyFont="1" applyFill="1" applyBorder="1" applyAlignment="1">
      <alignment vertical="center"/>
    </xf>
    <xf numFmtId="0" fontId="12" fillId="3" borderId="9" xfId="0" applyFont="1" applyFill="1" applyBorder="1" applyAlignment="1">
      <alignment vertical="center" wrapText="1"/>
    </xf>
    <xf numFmtId="178" fontId="13" fillId="2" borderId="9" xfId="0" applyNumberFormat="1" applyFont="1" applyFill="1" applyBorder="1" applyAlignment="1">
      <alignment vertical="center" wrapText="1"/>
    </xf>
    <xf numFmtId="180" fontId="13" fillId="2" borderId="9" xfId="0" applyNumberFormat="1" applyFont="1" applyFill="1" applyBorder="1" applyAlignment="1">
      <alignment vertical="center" wrapText="1"/>
    </xf>
    <xf numFmtId="0" fontId="15" fillId="2" borderId="9" xfId="0" applyFont="1" applyFill="1" applyBorder="1"/>
    <xf numFmtId="10" fontId="11" fillId="2" borderId="9" xfId="0" applyNumberFormat="1" applyFont="1" applyFill="1" applyBorder="1" applyAlignment="1">
      <alignment horizontal="right"/>
    </xf>
    <xf numFmtId="10" fontId="11" fillId="2" borderId="9" xfId="0" applyNumberFormat="1" applyFont="1" applyFill="1" applyBorder="1"/>
    <xf numFmtId="178" fontId="11" fillId="2" borderId="9" xfId="0" applyNumberFormat="1" applyFont="1" applyFill="1" applyBorder="1"/>
    <xf numFmtId="180" fontId="11" fillId="2" borderId="9" xfId="0" applyNumberFormat="1" applyFont="1" applyFill="1" applyBorder="1"/>
    <xf numFmtId="0" fontId="11" fillId="2" borderId="9" xfId="0" applyFont="1" applyFill="1" applyBorder="1"/>
    <xf numFmtId="178" fontId="11" fillId="2" borderId="9" xfId="0" applyNumberFormat="1" applyFont="1" applyFill="1" applyBorder="1" applyAlignment="1">
      <alignment horizontal="right"/>
    </xf>
    <xf numFmtId="0" fontId="11" fillId="2" borderId="9" xfId="0" applyFont="1" applyFill="1" applyBorder="1" applyAlignment="1">
      <alignment horizontal="right"/>
    </xf>
    <xf numFmtId="180" fontId="11" fillId="2" borderId="9" xfId="0" applyNumberFormat="1" applyFont="1" applyFill="1" applyBorder="1" applyAlignment="1">
      <alignment horizontal="right"/>
    </xf>
    <xf numFmtId="177" fontId="11" fillId="2" borderId="9" xfId="0" applyNumberFormat="1" applyFont="1" applyFill="1" applyBorder="1" applyAlignment="1">
      <alignment horizontal="right"/>
    </xf>
    <xf numFmtId="176" fontId="11" fillId="2" borderId="9" xfId="0" applyNumberFormat="1" applyFont="1" applyFill="1" applyBorder="1" applyAlignment="1">
      <alignment horizontal="right"/>
    </xf>
    <xf numFmtId="9" fontId="11" fillId="2" borderId="9" xfId="0" applyNumberFormat="1" applyFont="1" applyFill="1" applyBorder="1" applyAlignment="1">
      <alignment horizontal="right"/>
    </xf>
    <xf numFmtId="0" fontId="0" fillId="2" borderId="10" xfId="0" applyFill="1" applyBorder="1"/>
    <xf numFmtId="9" fontId="0" fillId="2" borderId="10" xfId="0" applyNumberFormat="1" applyFill="1" applyBorder="1"/>
    <xf numFmtId="182" fontId="0" fillId="2" borderId="10" xfId="0" applyNumberFormat="1" applyFill="1" applyBorder="1"/>
    <xf numFmtId="0" fontId="10" fillId="3" borderId="10" xfId="0" applyFont="1" applyFill="1" applyBorder="1" applyAlignment="1">
      <alignment vertical="center"/>
    </xf>
    <xf numFmtId="0" fontId="12" fillId="3" borderId="10" xfId="0" applyFont="1" applyFill="1" applyBorder="1" applyAlignment="1">
      <alignment vertical="center"/>
    </xf>
    <xf numFmtId="0" fontId="13" fillId="2" borderId="10" xfId="0" applyFont="1" applyFill="1" applyBorder="1"/>
    <xf numFmtId="0" fontId="16" fillId="2" borderId="10" xfId="0" applyFont="1" applyFill="1" applyBorder="1"/>
    <xf numFmtId="0" fontId="10" fillId="3" borderId="10" xfId="0" applyFont="1" applyFill="1" applyBorder="1" applyAlignment="1">
      <alignment horizontal="right" vertical="center"/>
    </xf>
    <xf numFmtId="0" fontId="0" fillId="2" borderId="10" xfId="0" applyFill="1" applyBorder="1" applyAlignment="1">
      <alignment horizontal="right" vertical="center"/>
    </xf>
    <xf numFmtId="10" fontId="0" fillId="2" borderId="10" xfId="0" applyNumberFormat="1" applyFill="1" applyBorder="1" applyAlignment="1">
      <alignment horizontal="right" vertical="center"/>
    </xf>
    <xf numFmtId="176" fontId="0" fillId="2" borderId="10" xfId="0" applyNumberFormat="1" applyFill="1" applyBorder="1" applyAlignment="1">
      <alignment horizontal="right" vertical="center"/>
    </xf>
    <xf numFmtId="9" fontId="0" fillId="2" borderId="10" xfId="0" applyNumberFormat="1" applyFill="1" applyBorder="1" applyAlignment="1">
      <alignment horizontal="right" vertical="center"/>
    </xf>
    <xf numFmtId="182" fontId="0" fillId="2" borderId="10" xfId="0" applyNumberFormat="1" applyFill="1" applyBorder="1" applyAlignment="1">
      <alignment horizontal="right" vertical="center"/>
    </xf>
    <xf numFmtId="178" fontId="0" fillId="2" borderId="10" xfId="0" applyNumberFormat="1" applyFill="1" applyBorder="1" applyAlignment="1">
      <alignment horizontal="right" vertical="center"/>
    </xf>
    <xf numFmtId="180" fontId="0" fillId="2" borderId="10" xfId="0" applyNumberFormat="1" applyFill="1" applyBorder="1" applyAlignment="1">
      <alignment horizontal="right" vertical="center"/>
    </xf>
    <xf numFmtId="0" fontId="10" fillId="3" borderId="9" xfId="0" applyFont="1" applyFill="1" applyBorder="1" applyAlignment="1">
      <alignment vertical="center" wrapText="1"/>
    </xf>
    <xf numFmtId="176" fontId="0" fillId="2" borderId="9" xfId="0" applyNumberFormat="1" applyFill="1" applyBorder="1" applyAlignment="1">
      <alignment vertical="center"/>
    </xf>
    <xf numFmtId="0" fontId="17" fillId="3" borderId="9" xfId="0" applyFont="1" applyFill="1" applyBorder="1" applyAlignment="1">
      <alignment vertical="center" wrapText="1"/>
    </xf>
    <xf numFmtId="176" fontId="13" fillId="2" borderId="9" xfId="0" applyNumberFormat="1" applyFont="1" applyFill="1" applyBorder="1" applyAlignment="1">
      <alignment vertical="center"/>
    </xf>
    <xf numFmtId="0" fontId="18" fillId="2" borderId="9" xfId="0" applyFont="1" applyFill="1" applyBorder="1" applyAlignment="1">
      <alignment vertical="center"/>
    </xf>
    <xf numFmtId="0" fontId="10" fillId="3" borderId="9" xfId="0" applyFont="1" applyFill="1" applyBorder="1" applyAlignment="1">
      <alignment horizontal="right" vertical="center" wrapText="1"/>
    </xf>
    <xf numFmtId="0" fontId="11" fillId="2" borderId="9" xfId="0" applyFont="1" applyFill="1" applyBorder="1" applyAlignment="1">
      <alignment horizontal="right" vertical="center"/>
    </xf>
    <xf numFmtId="10" fontId="11" fillId="2" borderId="9" xfId="0" applyNumberFormat="1" applyFont="1" applyFill="1" applyBorder="1" applyAlignment="1">
      <alignment horizontal="right" vertical="center"/>
    </xf>
    <xf numFmtId="176" fontId="11" fillId="2" borderId="9" xfId="0" applyNumberFormat="1" applyFont="1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  <xf numFmtId="0" fontId="20" fillId="3" borderId="9" xfId="0" applyFont="1" applyFill="1" applyBorder="1" applyAlignment="1">
      <alignment vertical="center"/>
    </xf>
    <xf numFmtId="176" fontId="11" fillId="2" borderId="9" xfId="0" applyNumberFormat="1" applyFont="1" applyFill="1" applyBorder="1" applyAlignment="1">
      <alignment vertical="center"/>
    </xf>
    <xf numFmtId="0" fontId="19" fillId="2" borderId="9" xfId="0" applyFont="1" applyFill="1" applyBorder="1" applyAlignment="1">
      <alignment vertical="center"/>
    </xf>
    <xf numFmtId="176" fontId="19" fillId="2" borderId="9" xfId="0" applyNumberFormat="1" applyFont="1" applyFill="1" applyBorder="1" applyAlignment="1">
      <alignment vertical="center"/>
    </xf>
    <xf numFmtId="4" fontId="11" fillId="2" borderId="9" xfId="0" applyNumberFormat="1" applyFont="1" applyFill="1" applyBorder="1" applyAlignment="1">
      <alignment vertical="center"/>
    </xf>
    <xf numFmtId="178" fontId="11" fillId="2" borderId="9" xfId="0" applyNumberFormat="1" applyFont="1" applyFill="1" applyBorder="1" applyAlignment="1">
      <alignment vertical="center"/>
    </xf>
    <xf numFmtId="0" fontId="20" fillId="3" borderId="10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right"/>
    </xf>
    <xf numFmtId="0" fontId="13" fillId="2" borderId="10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horizontal="right" vertical="center"/>
    </xf>
    <xf numFmtId="0" fontId="0" fillId="2" borderId="10" xfId="0" applyFill="1" applyBorder="1" applyAlignment="1">
      <alignment vertical="center"/>
    </xf>
    <xf numFmtId="176" fontId="13" fillId="2" borderId="10" xfId="0" applyNumberFormat="1" applyFont="1" applyFill="1" applyBorder="1" applyAlignment="1">
      <alignment vertical="center" wrapText="1"/>
    </xf>
    <xf numFmtId="176" fontId="11" fillId="2" borderId="10" xfId="0" applyNumberFormat="1" applyFont="1" applyFill="1" applyBorder="1" applyAlignment="1">
      <alignment horizontal="right" vertical="center"/>
    </xf>
    <xf numFmtId="176" fontId="0" fillId="2" borderId="10" xfId="0" applyNumberFormat="1" applyFill="1" applyBorder="1" applyAlignment="1">
      <alignment vertical="center"/>
    </xf>
    <xf numFmtId="10" fontId="11" fillId="2" borderId="10" xfId="0" applyNumberFormat="1" applyFont="1" applyFill="1" applyBorder="1" applyAlignment="1">
      <alignment horizontal="right"/>
    </xf>
    <xf numFmtId="181" fontId="11" fillId="2" borderId="10" xfId="0" applyNumberFormat="1" applyFont="1" applyFill="1" applyBorder="1" applyAlignment="1">
      <alignment horizontal="right"/>
    </xf>
    <xf numFmtId="178" fontId="13" fillId="2" borderId="10" xfId="0" applyNumberFormat="1" applyFont="1" applyFill="1" applyBorder="1"/>
    <xf numFmtId="178" fontId="11" fillId="2" borderId="10" xfId="0" applyNumberFormat="1" applyFont="1" applyFill="1" applyBorder="1" applyAlignment="1">
      <alignment horizontal="right"/>
    </xf>
    <xf numFmtId="178" fontId="0" fillId="2" borderId="10" xfId="0" applyNumberFormat="1" applyFill="1" applyBorder="1"/>
    <xf numFmtId="0" fontId="19" fillId="2" borderId="10" xfId="0" applyFont="1" applyFill="1" applyBorder="1" applyAlignment="1">
      <alignment horizontal="right"/>
    </xf>
    <xf numFmtId="0" fontId="14" fillId="2" borderId="10" xfId="0" applyFont="1" applyFill="1" applyBorder="1"/>
    <xf numFmtId="0" fontId="0" fillId="2" borderId="10" xfId="0" applyFill="1" applyBorder="1" applyAlignment="1">
      <alignment horizontal="right"/>
    </xf>
    <xf numFmtId="0" fontId="23" fillId="2" borderId="10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22" fillId="2" borderId="10" xfId="0" applyFont="1" applyFill="1" applyBorder="1" applyAlignment="1">
      <alignment vertical="center"/>
    </xf>
    <xf numFmtId="0" fontId="21" fillId="2" borderId="10" xfId="0" applyFon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0" fontId="24" fillId="2" borderId="10" xfId="0" applyFont="1" applyFill="1" applyBorder="1" applyAlignment="1">
      <alignment vertical="center"/>
    </xf>
    <xf numFmtId="10" fontId="11" fillId="2" borderId="10" xfId="0" applyNumberFormat="1" applyFont="1" applyFill="1" applyBorder="1" applyAlignment="1">
      <alignment vertical="center"/>
    </xf>
    <xf numFmtId="176" fontId="11" fillId="2" borderId="10" xfId="0" applyNumberFormat="1" applyFont="1" applyFill="1" applyBorder="1" applyAlignment="1">
      <alignment vertical="center"/>
    </xf>
    <xf numFmtId="0" fontId="13" fillId="2" borderId="10" xfId="0" applyFont="1" applyFill="1" applyBorder="1" applyAlignment="1">
      <alignment vertical="center"/>
    </xf>
    <xf numFmtId="176" fontId="13" fillId="2" borderId="10" xfId="0" applyNumberFormat="1" applyFont="1" applyFill="1" applyBorder="1" applyAlignment="1">
      <alignment vertical="center"/>
    </xf>
    <xf numFmtId="180" fontId="0" fillId="2" borderId="10" xfId="0" applyNumberFormat="1" applyFill="1" applyBorder="1" applyAlignment="1">
      <alignment vertical="center"/>
    </xf>
    <xf numFmtId="0" fontId="25" fillId="2" borderId="10" xfId="0" applyFont="1" applyFill="1" applyBorder="1" applyAlignment="1">
      <alignment vertical="center"/>
    </xf>
    <xf numFmtId="180" fontId="25" fillId="2" borderId="10" xfId="0" applyNumberFormat="1" applyFont="1" applyFill="1" applyBorder="1" applyAlignment="1">
      <alignment vertical="center"/>
    </xf>
    <xf numFmtId="179" fontId="11" fillId="2" borderId="10" xfId="0" applyNumberFormat="1" applyFont="1" applyFill="1" applyBorder="1" applyAlignment="1">
      <alignment vertical="center"/>
    </xf>
    <xf numFmtId="177" fontId="11" fillId="2" borderId="10" xfId="0" applyNumberFormat="1" applyFont="1" applyFill="1" applyBorder="1" applyAlignment="1">
      <alignment vertical="center"/>
    </xf>
    <xf numFmtId="180" fontId="11" fillId="2" borderId="10" xfId="0" applyNumberFormat="1" applyFont="1" applyFill="1" applyBorder="1" applyAlignment="1">
      <alignment vertical="center"/>
    </xf>
    <xf numFmtId="10" fontId="5" fillId="0" borderId="4" xfId="0" applyNumberFormat="1" applyFont="1" applyBorder="1"/>
    <xf numFmtId="176" fontId="0" fillId="0" borderId="3" xfId="0" applyNumberFormat="1" applyBorder="1"/>
    <xf numFmtId="10" fontId="0" fillId="0" borderId="3" xfId="0" applyNumberFormat="1" applyBorder="1"/>
    <xf numFmtId="181" fontId="0" fillId="0" borderId="3" xfId="0" applyNumberFormat="1" applyBorder="1"/>
    <xf numFmtId="178" fontId="0" fillId="0" borderId="3" xfId="0" applyNumberFormat="1" applyBorder="1"/>
    <xf numFmtId="10" fontId="0" fillId="2" borderId="10" xfId="0" applyNumberFormat="1" applyFill="1" applyBorder="1"/>
    <xf numFmtId="10" fontId="0" fillId="0" borderId="3" xfId="0" applyNumberFormat="1" applyBorder="1" applyAlignment="1">
      <alignment vertical="center" wrapText="1"/>
    </xf>
    <xf numFmtId="178" fontId="0" fillId="0" borderId="3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176" fontId="0" fillId="0" borderId="3" xfId="0" applyNumberFormat="1" applyBorder="1" applyAlignment="1">
      <alignment vertical="center" wrapText="1"/>
    </xf>
    <xf numFmtId="0" fontId="26" fillId="0" borderId="3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178" fontId="0" fillId="0" borderId="4" xfId="0" applyNumberFormat="1" applyBorder="1" applyAlignment="1">
      <alignment vertical="center"/>
    </xf>
    <xf numFmtId="179" fontId="0" fillId="0" borderId="4" xfId="0" applyNumberFormat="1" applyBorder="1" applyAlignment="1">
      <alignment vertical="center"/>
    </xf>
    <xf numFmtId="176" fontId="0" fillId="0" borderId="4" xfId="0" applyNumberFormat="1" applyBorder="1" applyAlignment="1">
      <alignment vertical="center"/>
    </xf>
    <xf numFmtId="0" fontId="27" fillId="0" borderId="4" xfId="0" applyFont="1" applyBorder="1" applyAlignment="1">
      <alignment vertical="center"/>
    </xf>
    <xf numFmtId="9" fontId="0" fillId="0" borderId="4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0" fontId="13" fillId="2" borderId="10" xfId="0" applyNumberFormat="1" applyFont="1" applyFill="1" applyBorder="1"/>
    <xf numFmtId="10" fontId="11" fillId="2" borderId="10" xfId="0" applyNumberFormat="1" applyFont="1" applyFill="1" applyBorder="1" applyAlignment="1">
      <alignment horizontal="right" vertical="center"/>
    </xf>
    <xf numFmtId="177" fontId="13" fillId="2" borderId="10" xfId="0" applyNumberFormat="1" applyFont="1" applyFill="1" applyBorder="1"/>
    <xf numFmtId="177" fontId="0" fillId="2" borderId="10" xfId="0" applyNumberFormat="1" applyFill="1" applyBorder="1"/>
    <xf numFmtId="179" fontId="11" fillId="2" borderId="10" xfId="0" applyNumberFormat="1" applyFont="1" applyFill="1" applyBorder="1" applyAlignment="1">
      <alignment horizontal="right"/>
    </xf>
    <xf numFmtId="0" fontId="11" fillId="2" borderId="10" xfId="0" applyFont="1" applyFill="1" applyBorder="1"/>
    <xf numFmtId="178" fontId="11" fillId="2" borderId="10" xfId="0" applyNumberFormat="1" applyFont="1" applyFill="1" applyBorder="1"/>
    <xf numFmtId="10" fontId="11" fillId="2" borderId="10" xfId="0" applyNumberFormat="1" applyFont="1" applyFill="1" applyBorder="1"/>
    <xf numFmtId="177" fontId="11" fillId="2" borderId="10" xfId="0" applyNumberFormat="1" applyFont="1" applyFill="1" applyBorder="1"/>
    <xf numFmtId="0" fontId="19" fillId="2" borderId="10" xfId="0" applyFont="1" applyFill="1" applyBorder="1"/>
    <xf numFmtId="0" fontId="28" fillId="2" borderId="10" xfId="0" applyFont="1" applyFill="1" applyBorder="1" applyAlignment="1">
      <alignment horizontal="left" vertical="center" wrapText="1"/>
    </xf>
    <xf numFmtId="176" fontId="24" fillId="2" borderId="10" xfId="0" applyNumberFormat="1" applyFont="1" applyFill="1" applyBorder="1" applyAlignment="1">
      <alignment horizontal="right"/>
    </xf>
    <xf numFmtId="181" fontId="11" fillId="2" borderId="10" xfId="0" applyNumberFormat="1" applyFont="1" applyFill="1" applyBorder="1" applyAlignment="1">
      <alignment horizontal="right" vertical="center"/>
    </xf>
    <xf numFmtId="10" fontId="13" fillId="2" borderId="9" xfId="0" applyNumberFormat="1" applyFont="1" applyFill="1" applyBorder="1" applyAlignment="1">
      <alignment vertical="center" wrapText="1"/>
    </xf>
    <xf numFmtId="10" fontId="0" fillId="0" borderId="1" xfId="0" applyNumberFormat="1" applyBorder="1"/>
    <xf numFmtId="10" fontId="0" fillId="0" borderId="2" xfId="0" applyNumberFormat="1" applyBorder="1"/>
    <xf numFmtId="10" fontId="13" fillId="2" borderId="10" xfId="0" applyNumberFormat="1" applyFont="1" applyFill="1" applyBorder="1" applyAlignment="1">
      <alignment vertical="center" wrapText="1"/>
    </xf>
    <xf numFmtId="10" fontId="0" fillId="2" borderId="10" xfId="0" applyNumberFormat="1" applyFill="1" applyBorder="1" applyAlignment="1">
      <alignment vertical="center"/>
    </xf>
    <xf numFmtId="9" fontId="0" fillId="2" borderId="10" xfId="0" applyNumberFormat="1" applyFill="1" applyBorder="1" applyAlignment="1">
      <alignment vertical="center"/>
    </xf>
    <xf numFmtId="0" fontId="10" fillId="4" borderId="9" xfId="0" applyFont="1" applyFill="1" applyBorder="1" applyAlignment="1">
      <alignment horizontal="right" vertical="center"/>
    </xf>
    <xf numFmtId="178" fontId="13" fillId="2" borderId="9" xfId="0" applyNumberFormat="1" applyFont="1" applyFill="1" applyBorder="1" applyAlignment="1">
      <alignment vertical="center"/>
    </xf>
    <xf numFmtId="178" fontId="0" fillId="2" borderId="9" xfId="0" applyNumberFormat="1" applyFill="1" applyBorder="1" applyAlignment="1">
      <alignment vertical="center"/>
    </xf>
    <xf numFmtId="10" fontId="9" fillId="2" borderId="9" xfId="0" applyNumberFormat="1" applyFont="1" applyFill="1" applyBorder="1"/>
    <xf numFmtId="176" fontId="25" fillId="2" borderId="10" xfId="0" applyNumberFormat="1" applyFont="1" applyFill="1" applyBorder="1" applyAlignment="1">
      <alignment vertical="center"/>
    </xf>
    <xf numFmtId="10" fontId="25" fillId="2" borderId="10" xfId="0" applyNumberFormat="1" applyFont="1" applyFill="1" applyBorder="1" applyAlignment="1">
      <alignment vertical="center"/>
    </xf>
    <xf numFmtId="0" fontId="20" fillId="3" borderId="9" xfId="0" applyFont="1" applyFill="1" applyBorder="1" applyAlignment="1">
      <alignment horizontal="right" vertical="center"/>
    </xf>
    <xf numFmtId="176" fontId="13" fillId="2" borderId="10" xfId="0" applyNumberFormat="1" applyFont="1" applyFill="1" applyBorder="1"/>
    <xf numFmtId="176" fontId="0" fillId="2" borderId="10" xfId="0" applyNumberFormat="1" applyFill="1" applyBorder="1"/>
    <xf numFmtId="177" fontId="11" fillId="2" borderId="9" xfId="0" applyNumberFormat="1" applyFont="1" applyFill="1" applyBorder="1"/>
    <xf numFmtId="49" fontId="11" fillId="2" borderId="9" xfId="0" applyNumberFormat="1" applyFont="1" applyFill="1" applyBorder="1"/>
    <xf numFmtId="49" fontId="0" fillId="2" borderId="9" xfId="0" applyNumberFormat="1" applyFill="1" applyBorder="1"/>
    <xf numFmtId="49" fontId="11" fillId="2" borderId="9" xfId="0" applyNumberFormat="1" applyFont="1" applyFill="1" applyBorder="1" applyAlignment="1">
      <alignment horizontal="right"/>
    </xf>
    <xf numFmtId="181" fontId="13" fillId="2" borderId="9" xfId="0" applyNumberFormat="1" applyFont="1" applyFill="1" applyBorder="1" applyAlignment="1">
      <alignment vertical="center" wrapText="1"/>
    </xf>
    <xf numFmtId="181" fontId="11" fillId="2" borderId="9" xfId="0" applyNumberFormat="1" applyFont="1" applyFill="1" applyBorder="1" applyAlignment="1">
      <alignment horizontal="right"/>
    </xf>
    <xf numFmtId="181" fontId="11" fillId="2" borderId="9" xfId="0" applyNumberFormat="1" applyFont="1" applyFill="1" applyBorder="1"/>
    <xf numFmtId="181" fontId="0" fillId="2" borderId="9" xfId="0" applyNumberFormat="1" applyFill="1" applyBorder="1"/>
    <xf numFmtId="177" fontId="0" fillId="0" borderId="4" xfId="0" applyNumberFormat="1" applyBorder="1" applyAlignment="1">
      <alignment vertical="center"/>
    </xf>
    <xf numFmtId="180" fontId="0" fillId="0" borderId="4" xfId="0" applyNumberFormat="1" applyBorder="1" applyAlignment="1">
      <alignment vertical="center"/>
    </xf>
    <xf numFmtId="10" fontId="0" fillId="0" borderId="2" xfId="0" applyNumberFormat="1" applyBorder="1" applyAlignment="1">
      <alignment vertical="center" wrapText="1"/>
    </xf>
    <xf numFmtId="178" fontId="19" fillId="2" borderId="9" xfId="0" applyNumberFormat="1" applyFont="1" applyFill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26" fillId="0" borderId="4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31" fillId="0" borderId="3" xfId="0" applyFont="1" applyBorder="1" applyAlignment="1">
      <alignment vertical="center"/>
    </xf>
    <xf numFmtId="178" fontId="32" fillId="0" borderId="4" xfId="0" applyNumberFormat="1" applyFont="1" applyBorder="1" applyAlignment="1">
      <alignment vertical="center"/>
    </xf>
    <xf numFmtId="0" fontId="32" fillId="0" borderId="4" xfId="0" applyFont="1" applyBorder="1" applyAlignment="1">
      <alignment vertical="center"/>
    </xf>
    <xf numFmtId="176" fontId="32" fillId="0" borderId="4" xfId="0" applyNumberFormat="1" applyFont="1" applyBorder="1" applyAlignment="1">
      <alignment vertical="center"/>
    </xf>
    <xf numFmtId="10" fontId="31" fillId="0" borderId="3" xfId="0" applyNumberFormat="1" applyFont="1" applyBorder="1" applyAlignment="1">
      <alignment vertical="center"/>
    </xf>
    <xf numFmtId="10" fontId="32" fillId="0" borderId="4" xfId="0" applyNumberFormat="1" applyFont="1" applyBorder="1" applyAlignment="1">
      <alignment vertical="center"/>
    </xf>
    <xf numFmtId="178" fontId="0" fillId="0" borderId="4" xfId="0" applyNumberFormat="1" applyBorder="1" applyAlignment="1">
      <alignment horizontal="right" vertical="center"/>
    </xf>
    <xf numFmtId="176" fontId="18" fillId="2" borderId="9" xfId="0" applyNumberFormat="1" applyFont="1" applyFill="1" applyBorder="1" applyAlignment="1">
      <alignment vertical="center"/>
    </xf>
    <xf numFmtId="181" fontId="11" fillId="2" borderId="9" xfId="0" applyNumberFormat="1" applyFont="1" applyFill="1" applyBorder="1" applyAlignment="1">
      <alignment horizontal="right" vertical="center"/>
    </xf>
    <xf numFmtId="0" fontId="33" fillId="0" borderId="1" xfId="0" applyFont="1" applyBorder="1" applyAlignment="1">
      <alignment vertical="center"/>
    </xf>
    <xf numFmtId="0" fontId="33" fillId="0" borderId="3" xfId="0" applyFont="1" applyBorder="1" applyAlignment="1">
      <alignment vertical="center"/>
    </xf>
    <xf numFmtId="0" fontId="33" fillId="2" borderId="10" xfId="0" applyFont="1" applyFill="1" applyBorder="1" applyAlignment="1">
      <alignment vertical="center"/>
    </xf>
    <xf numFmtId="10" fontId="33" fillId="0" borderId="3" xfId="0" applyNumberFormat="1" applyFont="1" applyBorder="1" applyAlignment="1">
      <alignment vertical="center"/>
    </xf>
    <xf numFmtId="0" fontId="33" fillId="0" borderId="3" xfId="0" applyFont="1" applyBorder="1" applyAlignment="1">
      <alignment vertical="center" wrapText="1"/>
    </xf>
    <xf numFmtId="177" fontId="33" fillId="0" borderId="3" xfId="0" applyNumberFormat="1" applyFont="1" applyBorder="1" applyAlignment="1">
      <alignment vertical="center"/>
    </xf>
    <xf numFmtId="10" fontId="33" fillId="0" borderId="3" xfId="0" applyNumberFormat="1" applyFont="1" applyBorder="1" applyAlignment="1">
      <alignment vertical="center" wrapText="1"/>
    </xf>
    <xf numFmtId="0" fontId="11" fillId="0" borderId="4" xfId="0" applyFont="1" applyBorder="1" applyAlignment="1">
      <alignment vertical="center"/>
    </xf>
    <xf numFmtId="10" fontId="11" fillId="0" borderId="4" xfId="0" applyNumberFormat="1" applyFont="1" applyBorder="1" applyAlignment="1">
      <alignment vertical="center"/>
    </xf>
    <xf numFmtId="177" fontId="11" fillId="0" borderId="4" xfId="0" applyNumberFormat="1" applyFont="1" applyBorder="1" applyAlignment="1">
      <alignment vertical="center"/>
    </xf>
    <xf numFmtId="9" fontId="11" fillId="0" borderId="4" xfId="0" applyNumberFormat="1" applyFont="1" applyBorder="1" applyAlignment="1">
      <alignment vertical="center"/>
    </xf>
    <xf numFmtId="0" fontId="34" fillId="0" borderId="2" xfId="0" applyFont="1" applyBorder="1" applyAlignment="1">
      <alignment vertical="center"/>
    </xf>
    <xf numFmtId="0" fontId="34" fillId="0" borderId="4" xfId="0" applyFont="1" applyBorder="1" applyAlignment="1">
      <alignment vertical="center"/>
    </xf>
    <xf numFmtId="10" fontId="34" fillId="0" borderId="4" xfId="0" applyNumberFormat="1" applyFont="1" applyBorder="1" applyAlignment="1">
      <alignment vertical="center"/>
    </xf>
    <xf numFmtId="177" fontId="34" fillId="0" borderId="4" xfId="0" applyNumberFormat="1" applyFont="1" applyBorder="1" applyAlignment="1">
      <alignment vertical="center"/>
    </xf>
    <xf numFmtId="0" fontId="34" fillId="0" borderId="4" xfId="0" applyFont="1" applyBorder="1" applyAlignment="1">
      <alignment vertical="center" wrapText="1"/>
    </xf>
    <xf numFmtId="0" fontId="35" fillId="2" borderId="10" xfId="0" applyFont="1" applyFill="1" applyBorder="1" applyAlignment="1">
      <alignment vertical="center"/>
    </xf>
    <xf numFmtId="178" fontId="0" fillId="2" borderId="10" xfId="0" applyNumberFormat="1" applyFill="1" applyBorder="1" applyAlignment="1">
      <alignment vertical="center"/>
    </xf>
    <xf numFmtId="178" fontId="11" fillId="2" borderId="10" xfId="0" applyNumberFormat="1" applyFont="1" applyFill="1" applyBorder="1" applyAlignment="1">
      <alignment vertical="center"/>
    </xf>
    <xf numFmtId="0" fontId="36" fillId="2" borderId="10" xfId="0" applyFont="1" applyFill="1" applyBorder="1" applyAlignment="1">
      <alignment vertical="center"/>
    </xf>
    <xf numFmtId="178" fontId="13" fillId="2" borderId="10" xfId="0" applyNumberFormat="1" applyFont="1" applyFill="1" applyBorder="1" applyAlignment="1">
      <alignment vertical="center"/>
    </xf>
    <xf numFmtId="178" fontId="11" fillId="2" borderId="10" xfId="0" applyNumberFormat="1" applyFont="1" applyFill="1" applyBorder="1" applyAlignment="1">
      <alignment horizontal="right" vertical="center"/>
    </xf>
    <xf numFmtId="0" fontId="19" fillId="2" borderId="10" xfId="0" applyFont="1" applyFill="1" applyBorder="1" applyAlignment="1">
      <alignment horizontal="right" vertical="center"/>
    </xf>
    <xf numFmtId="0" fontId="11" fillId="2" borderId="10" xfId="0" applyFont="1" applyFill="1" applyBorder="1" applyAlignment="1">
      <alignment horizontal="right" vertical="center" wrapText="1"/>
    </xf>
    <xf numFmtId="0" fontId="28" fillId="2" borderId="10" xfId="0" applyFont="1" applyFill="1" applyBorder="1" applyAlignment="1">
      <alignment vertical="center" wrapText="1"/>
    </xf>
    <xf numFmtId="0" fontId="11" fillId="2" borderId="10" xfId="0" applyFont="1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14" fillId="2" borderId="10" xfId="0" applyFont="1" applyFill="1" applyBorder="1" applyAlignment="1">
      <alignment vertical="center"/>
    </xf>
    <xf numFmtId="0" fontId="28" fillId="2" borderId="10" xfId="0" applyFont="1" applyFill="1" applyBorder="1" applyAlignment="1">
      <alignment vertical="center"/>
    </xf>
    <xf numFmtId="0" fontId="30" fillId="2" borderId="10" xfId="0" applyFont="1" applyFill="1" applyBorder="1" applyAlignment="1">
      <alignment vertical="center"/>
    </xf>
    <xf numFmtId="0" fontId="29" fillId="2" borderId="10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left" vertical="center" wrapText="1"/>
    </xf>
    <xf numFmtId="10" fontId="0" fillId="2" borderId="9" xfId="0" applyNumberFormat="1" applyFill="1" applyBorder="1" applyAlignment="1">
      <alignment horizontal="right"/>
    </xf>
    <xf numFmtId="180" fontId="9" fillId="2" borderId="9" xfId="0" applyNumberFormat="1" applyFont="1" applyFill="1" applyBorder="1"/>
    <xf numFmtId="180" fontId="0" fillId="2" borderId="9" xfId="0" applyNumberFormat="1" applyFill="1" applyBorder="1" applyAlignment="1">
      <alignment horizontal="right"/>
    </xf>
    <xf numFmtId="176" fontId="9" fillId="2" borderId="9" xfId="0" applyNumberFormat="1" applyFont="1" applyFill="1" applyBorder="1"/>
    <xf numFmtId="176" fontId="0" fillId="2" borderId="9" xfId="0" applyNumberFormat="1" applyFill="1" applyBorder="1" applyAlignment="1">
      <alignment horizontal="right"/>
    </xf>
    <xf numFmtId="178" fontId="9" fillId="2" borderId="9" xfId="0" applyNumberFormat="1" applyFont="1" applyFill="1" applyBorder="1"/>
    <xf numFmtId="178" fontId="0" fillId="2" borderId="9" xfId="0" applyNumberFormat="1" applyFill="1" applyBorder="1" applyAlignment="1">
      <alignment horizontal="right"/>
    </xf>
    <xf numFmtId="4" fontId="0" fillId="0" borderId="0" xfId="0" applyNumberFormat="1"/>
    <xf numFmtId="176" fontId="26" fillId="2" borderId="9" xfId="0" applyNumberFormat="1" applyFont="1" applyFill="1" applyBorder="1"/>
    <xf numFmtId="0" fontId="26" fillId="2" borderId="9" xfId="0" applyFont="1" applyFill="1" applyBorder="1"/>
    <xf numFmtId="0" fontId="26" fillId="0" borderId="4" xfId="0" applyFont="1" applyBorder="1"/>
    <xf numFmtId="10" fontId="13" fillId="2" borderId="10" xfId="0" applyNumberFormat="1" applyFont="1" applyFill="1" applyBorder="1" applyAlignment="1">
      <alignment vertical="center"/>
    </xf>
    <xf numFmtId="10" fontId="0" fillId="0" borderId="1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8" fillId="0" borderId="0" xfId="0" applyFont="1"/>
    <xf numFmtId="0" fontId="6" fillId="0" borderId="0" xfId="0" applyFo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F012-937E-4E5A-AAEA-A70CE007FE7F}">
  <dimension ref="A1:C11"/>
  <sheetViews>
    <sheetView workbookViewId="0">
      <selection activeCell="B11" sqref="B11"/>
    </sheetView>
  </sheetViews>
  <sheetFormatPr defaultRowHeight="14.25" x14ac:dyDescent="0.2"/>
  <cols>
    <col min="2" max="2" width="13.75" customWidth="1"/>
    <col min="3" max="3" width="14.25" customWidth="1"/>
    <col min="4" max="4" width="20.125" customWidth="1"/>
  </cols>
  <sheetData>
    <row r="1" spans="1:3" s="11" customFormat="1" ht="28.5" x14ac:dyDescent="0.2">
      <c r="A1" s="11" t="s">
        <v>0</v>
      </c>
      <c r="B1" s="11" t="s">
        <v>34</v>
      </c>
      <c r="C1" s="11" t="s">
        <v>33</v>
      </c>
    </row>
    <row r="2" spans="1:3" x14ac:dyDescent="0.2">
      <c r="A2" t="s">
        <v>1</v>
      </c>
      <c r="B2">
        <v>17.600000000000001</v>
      </c>
      <c r="C2">
        <v>17.399999999999999</v>
      </c>
    </row>
    <row r="3" spans="1:3" x14ac:dyDescent="0.2">
      <c r="A3" t="s">
        <v>2</v>
      </c>
      <c r="B3" s="12">
        <f>B2/1.026</f>
        <v>17.153996101364523</v>
      </c>
      <c r="C3" s="12">
        <f>C2/1.087</f>
        <v>16.007359705611776</v>
      </c>
    </row>
    <row r="4" spans="1:3" x14ac:dyDescent="0.2">
      <c r="A4" t="s">
        <v>3</v>
      </c>
      <c r="B4">
        <v>17.16</v>
      </c>
      <c r="C4">
        <v>14.99</v>
      </c>
    </row>
    <row r="5" spans="1:3" x14ac:dyDescent="0.2">
      <c r="A5" t="s">
        <v>4</v>
      </c>
    </row>
    <row r="8" spans="1:3" x14ac:dyDescent="0.2">
      <c r="B8" s="259">
        <v>72721562.680000007</v>
      </c>
    </row>
    <row r="9" spans="1:3" x14ac:dyDescent="0.2">
      <c r="B9" s="259">
        <v>416330759.72000003</v>
      </c>
    </row>
    <row r="10" spans="1:3" x14ac:dyDescent="0.2">
      <c r="B10" s="259">
        <v>196744762</v>
      </c>
    </row>
    <row r="11" spans="1:3" x14ac:dyDescent="0.2">
      <c r="B11" s="259">
        <f>SUM(B8:B10)</f>
        <v>685797084.4000001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E3AAC-0C4D-4CB5-BD72-944F9FC31698}">
  <dimension ref="A1:F36"/>
  <sheetViews>
    <sheetView workbookViewId="0">
      <selection activeCell="M30" sqref="M30"/>
    </sheetView>
  </sheetViews>
  <sheetFormatPr defaultRowHeight="14.25" x14ac:dyDescent="0.2"/>
  <cols>
    <col min="1" max="1" width="31.375" style="1" customWidth="1"/>
    <col min="2" max="16384" width="9" style="2"/>
  </cols>
  <sheetData>
    <row r="1" spans="1:6" s="15" customFormat="1" x14ac:dyDescent="0.2">
      <c r="A1" s="14" t="s">
        <v>384</v>
      </c>
      <c r="B1" s="15" t="s">
        <v>178</v>
      </c>
      <c r="C1" s="15" t="s">
        <v>4</v>
      </c>
      <c r="D1" s="15" t="s">
        <v>70</v>
      </c>
      <c r="E1" s="15" t="s">
        <v>71</v>
      </c>
      <c r="F1" s="15" t="s">
        <v>72</v>
      </c>
    </row>
    <row r="2" spans="1:6" x14ac:dyDescent="0.2">
      <c r="A2" s="1" t="s">
        <v>129</v>
      </c>
      <c r="B2" s="2">
        <v>99.72</v>
      </c>
      <c r="C2" s="2">
        <v>145.44</v>
      </c>
      <c r="D2" s="2">
        <v>157.59</v>
      </c>
      <c r="E2" s="2">
        <v>192.13</v>
      </c>
      <c r="F2" s="2">
        <v>185.32</v>
      </c>
    </row>
    <row r="3" spans="1:6" x14ac:dyDescent="0.2">
      <c r="A3" s="1" t="s">
        <v>391</v>
      </c>
      <c r="B3" s="3">
        <v>9.06E-2</v>
      </c>
      <c r="C3" s="3">
        <v>7.1900000000000006E-2</v>
      </c>
      <c r="D3" s="3">
        <v>7.5399999999999995E-2</v>
      </c>
      <c r="E3" s="3">
        <v>8.6499999999999994E-2</v>
      </c>
      <c r="F3" s="3">
        <v>8.2000000000000003E-2</v>
      </c>
    </row>
    <row r="4" spans="1:6" x14ac:dyDescent="0.2">
      <c r="A4" s="1" t="s">
        <v>58</v>
      </c>
      <c r="B4" s="2">
        <v>9.39</v>
      </c>
      <c r="C4" s="2">
        <v>12.45</v>
      </c>
      <c r="D4" s="2">
        <v>16.03</v>
      </c>
      <c r="E4" s="2">
        <v>16.059999999999999</v>
      </c>
      <c r="F4" s="2">
        <v>14.66</v>
      </c>
    </row>
    <row r="5" spans="1:6" x14ac:dyDescent="0.2">
      <c r="A5" s="1" t="s">
        <v>59</v>
      </c>
      <c r="B5" s="2">
        <v>7.51</v>
      </c>
      <c r="C5" s="2">
        <v>9.31</v>
      </c>
      <c r="D5" s="2">
        <v>12</v>
      </c>
      <c r="E5" s="2">
        <v>12.88</v>
      </c>
      <c r="F5" s="2">
        <v>12.9</v>
      </c>
    </row>
    <row r="7" spans="1:6" x14ac:dyDescent="0.2">
      <c r="A7" s="1" t="s">
        <v>314</v>
      </c>
      <c r="B7" s="2">
        <v>281.60000000000002</v>
      </c>
      <c r="C7" s="2">
        <v>609.27</v>
      </c>
      <c r="D7" s="2">
        <v>802</v>
      </c>
      <c r="E7" s="2">
        <v>1095.3</v>
      </c>
      <c r="F7" s="2">
        <v>1205.07</v>
      </c>
    </row>
    <row r="8" spans="1:6" x14ac:dyDescent="0.2">
      <c r="A8" s="1" t="s">
        <v>394</v>
      </c>
      <c r="B8" s="7">
        <f>B23/B7*10000</f>
        <v>10701.349431818182</v>
      </c>
      <c r="C8" s="7">
        <f>C23/C7*10000</f>
        <v>9544.536904820523</v>
      </c>
      <c r="D8" s="7">
        <f>D23/D7*10000</f>
        <v>10660.84788029925</v>
      </c>
      <c r="E8" s="7">
        <f>E23/E7*10000</f>
        <v>9270.2455948142069</v>
      </c>
      <c r="F8" s="7">
        <f>F23/F7*10000</f>
        <v>8591.700067216012</v>
      </c>
    </row>
    <row r="9" spans="1:6" x14ac:dyDescent="0.2">
      <c r="A9" s="1" t="s">
        <v>182</v>
      </c>
      <c r="D9" s="2">
        <v>629</v>
      </c>
      <c r="E9" s="2">
        <v>715.4</v>
      </c>
      <c r="F9" s="2">
        <v>710.61</v>
      </c>
    </row>
    <row r="10" spans="1:6" x14ac:dyDescent="0.2">
      <c r="A10" s="1" t="s">
        <v>385</v>
      </c>
      <c r="E10" s="2">
        <v>798.44</v>
      </c>
      <c r="F10" s="2">
        <v>908.99</v>
      </c>
    </row>
    <row r="11" spans="1:6" x14ac:dyDescent="0.2">
      <c r="A11" s="1" t="s">
        <v>246</v>
      </c>
      <c r="C11" s="2">
        <v>530.9</v>
      </c>
      <c r="D11" s="2">
        <v>1077</v>
      </c>
      <c r="E11" s="2">
        <v>866.93</v>
      </c>
      <c r="F11" s="2">
        <v>1236.04</v>
      </c>
    </row>
    <row r="12" spans="1:6" x14ac:dyDescent="0.2">
      <c r="A12" s="1" t="s">
        <v>248</v>
      </c>
      <c r="C12" s="2">
        <v>273.07</v>
      </c>
      <c r="D12" s="2">
        <v>337</v>
      </c>
      <c r="E12" s="2">
        <v>515.82000000000005</v>
      </c>
      <c r="F12" s="2">
        <v>507.32</v>
      </c>
    </row>
    <row r="14" spans="1:6" x14ac:dyDescent="0.2">
      <c r="A14" s="1" t="s">
        <v>26</v>
      </c>
      <c r="D14" s="2">
        <v>85</v>
      </c>
      <c r="E14" s="2">
        <v>48</v>
      </c>
      <c r="F14" s="2">
        <v>60</v>
      </c>
    </row>
    <row r="15" spans="1:6" x14ac:dyDescent="0.2">
      <c r="A15" s="1" t="s">
        <v>213</v>
      </c>
      <c r="D15" s="2">
        <v>1496</v>
      </c>
      <c r="E15" s="2">
        <v>1121</v>
      </c>
      <c r="F15" s="2">
        <v>962</v>
      </c>
    </row>
    <row r="16" spans="1:6" x14ac:dyDescent="0.2">
      <c r="A16" s="1" t="s">
        <v>392</v>
      </c>
      <c r="E16" s="2">
        <v>1773</v>
      </c>
    </row>
    <row r="18" spans="1:6" x14ac:dyDescent="0.2">
      <c r="A18" s="1" t="s">
        <v>196</v>
      </c>
      <c r="B18" s="3">
        <v>0.23130000000000001</v>
      </c>
      <c r="C18" s="3">
        <v>0.22700000000000001</v>
      </c>
      <c r="D18" s="3">
        <v>0.25600000000000001</v>
      </c>
      <c r="E18" s="3">
        <v>0.26669999999999999</v>
      </c>
      <c r="F18" s="3">
        <v>0.21060000000000001</v>
      </c>
    </row>
    <row r="19" spans="1:6" s="10" customFormat="1" x14ac:dyDescent="0.2">
      <c r="A19" s="147" t="s">
        <v>506</v>
      </c>
      <c r="B19" s="10">
        <v>8.9600000000000009</v>
      </c>
      <c r="C19" s="10">
        <v>13.65</v>
      </c>
      <c r="D19" s="10">
        <v>22.24</v>
      </c>
      <c r="E19" s="10">
        <v>34.590000000000003</v>
      </c>
      <c r="F19" s="10">
        <v>33.020000000000003</v>
      </c>
    </row>
    <row r="20" spans="1:6" s="10" customFormat="1" x14ac:dyDescent="0.2">
      <c r="A20" s="147" t="s">
        <v>510</v>
      </c>
      <c r="B20" s="10">
        <v>213.29</v>
      </c>
      <c r="C20" s="10">
        <v>245.53</v>
      </c>
      <c r="D20" s="10">
        <v>308.20999999999998</v>
      </c>
      <c r="E20" s="10">
        <v>391.94</v>
      </c>
      <c r="F20" s="10">
        <v>429.57</v>
      </c>
    </row>
    <row r="21" spans="1:6" x14ac:dyDescent="0.2">
      <c r="A21" s="1" t="s">
        <v>507</v>
      </c>
      <c r="B21" s="3">
        <f t="shared" ref="B21:E21" si="0">B19/B20</f>
        <v>4.200853298326223E-2</v>
      </c>
      <c r="C21" s="3">
        <f t="shared" si="0"/>
        <v>5.5594021097218262E-2</v>
      </c>
      <c r="D21" s="3">
        <f t="shared" si="0"/>
        <v>7.2158593166996535E-2</v>
      </c>
      <c r="E21" s="3">
        <f t="shared" si="0"/>
        <v>8.8253304077154676E-2</v>
      </c>
      <c r="F21" s="3">
        <f>F19/F20</f>
        <v>7.6867565239658278E-2</v>
      </c>
    </row>
    <row r="23" spans="1:6" x14ac:dyDescent="0.2">
      <c r="A23" s="1" t="s">
        <v>134</v>
      </c>
      <c r="B23" s="2">
        <v>301.35000000000002</v>
      </c>
      <c r="C23" s="2">
        <v>581.52</v>
      </c>
      <c r="D23" s="2">
        <v>855</v>
      </c>
      <c r="E23" s="2">
        <v>1015.37</v>
      </c>
      <c r="F23" s="2">
        <v>1035.3599999999999</v>
      </c>
    </row>
    <row r="24" spans="1:6" x14ac:dyDescent="0.2">
      <c r="A24" s="1" t="s">
        <v>390</v>
      </c>
      <c r="B24" s="2">
        <v>273.69</v>
      </c>
      <c r="C24" s="2">
        <v>347.81</v>
      </c>
      <c r="D24" s="2">
        <v>569.57000000000005</v>
      </c>
      <c r="E24" s="2">
        <v>609.04</v>
      </c>
      <c r="F24" s="2">
        <v>729.85</v>
      </c>
    </row>
    <row r="25" spans="1:6" x14ac:dyDescent="0.2">
      <c r="A25" s="1" t="s">
        <v>39</v>
      </c>
      <c r="B25" s="2">
        <v>20.079999999999998</v>
      </c>
      <c r="C25" s="2">
        <v>17.510000000000002</v>
      </c>
      <c r="D25" s="2">
        <v>24.76</v>
      </c>
      <c r="E25" s="2">
        <v>47.4</v>
      </c>
      <c r="F25" s="2">
        <v>60.33</v>
      </c>
    </row>
    <row r="26" spans="1:6" x14ac:dyDescent="0.2">
      <c r="A26" s="1" t="s">
        <v>398</v>
      </c>
    </row>
    <row r="28" spans="1:6" x14ac:dyDescent="0.2">
      <c r="A28" s="1" t="s">
        <v>17</v>
      </c>
      <c r="E28" s="3">
        <v>0.79200000000000004</v>
      </c>
      <c r="F28" s="3">
        <v>0.88570000000000004</v>
      </c>
    </row>
    <row r="29" spans="1:6" x14ac:dyDescent="0.2">
      <c r="A29" s="1" t="s">
        <v>323</v>
      </c>
      <c r="D29" s="3">
        <v>0.69979999999999998</v>
      </c>
      <c r="E29" s="3">
        <v>0.6794</v>
      </c>
      <c r="F29" s="3">
        <v>0.73029999999999995</v>
      </c>
    </row>
    <row r="30" spans="1:6" x14ac:dyDescent="0.2">
      <c r="A30" s="1" t="s">
        <v>114</v>
      </c>
      <c r="F30" s="2">
        <v>1.06</v>
      </c>
    </row>
    <row r="32" spans="1:6" x14ac:dyDescent="0.2">
      <c r="A32" s="1" t="s">
        <v>386</v>
      </c>
    </row>
    <row r="33" spans="1:6" x14ac:dyDescent="0.2">
      <c r="A33" s="1" t="s">
        <v>387</v>
      </c>
      <c r="C33" s="2" t="s">
        <v>393</v>
      </c>
      <c r="E33" s="2" t="s">
        <v>172</v>
      </c>
      <c r="F33" s="2" t="s">
        <v>172</v>
      </c>
    </row>
    <row r="34" spans="1:6" x14ac:dyDescent="0.2">
      <c r="A34" s="1" t="s">
        <v>166</v>
      </c>
      <c r="E34" s="2" t="s">
        <v>388</v>
      </c>
      <c r="F34" s="2" t="s">
        <v>388</v>
      </c>
    </row>
    <row r="35" spans="1:6" x14ac:dyDescent="0.2">
      <c r="A35" s="1" t="s">
        <v>169</v>
      </c>
      <c r="E35" s="2" t="s">
        <v>389</v>
      </c>
      <c r="F35" s="2" t="s">
        <v>389</v>
      </c>
    </row>
    <row r="36" spans="1:6" x14ac:dyDescent="0.2">
      <c r="A36" s="1" t="s">
        <v>171</v>
      </c>
      <c r="C36" s="2" t="s">
        <v>393</v>
      </c>
      <c r="D36" s="2" t="s">
        <v>393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9AFE-783D-4CBA-9642-A9BD7C271D87}">
  <dimension ref="A1:H60"/>
  <sheetViews>
    <sheetView topLeftCell="A8" workbookViewId="0">
      <selection activeCell="C46" sqref="C46:G46"/>
    </sheetView>
  </sheetViews>
  <sheetFormatPr defaultRowHeight="16.5" x14ac:dyDescent="0.35"/>
  <cols>
    <col min="1" max="1" width="22.625" style="86" customWidth="1"/>
    <col min="2" max="2" width="9.875" style="88" customWidth="1"/>
    <col min="3" max="3" width="10" style="88" customWidth="1"/>
    <col min="4" max="4" width="10.25" style="88" customWidth="1"/>
    <col min="5" max="5" width="10.375" style="88" customWidth="1"/>
    <col min="6" max="6" width="10.125" style="88" customWidth="1"/>
    <col min="7" max="7" width="11.125" style="80" customWidth="1"/>
    <col min="8" max="16384" width="9" style="80"/>
  </cols>
  <sheetData>
    <row r="1" spans="1:7" s="83" customFormat="1" ht="23.25" customHeight="1" x14ac:dyDescent="0.2">
      <c r="A1" s="84" t="s">
        <v>342</v>
      </c>
      <c r="B1" s="87" t="s">
        <v>178</v>
      </c>
      <c r="C1" s="87" t="s">
        <v>4</v>
      </c>
      <c r="D1" s="87" t="s">
        <v>70</v>
      </c>
      <c r="E1" s="87" t="s">
        <v>71</v>
      </c>
      <c r="F1" s="87" t="s">
        <v>72</v>
      </c>
      <c r="G1" s="87" t="s">
        <v>462</v>
      </c>
    </row>
    <row r="2" spans="1:7" x14ac:dyDescent="0.35">
      <c r="A2" s="85" t="s">
        <v>129</v>
      </c>
      <c r="B2" s="88">
        <v>892.53</v>
      </c>
      <c r="C2" s="88">
        <v>1069.23</v>
      </c>
      <c r="D2" s="88">
        <v>1219.22</v>
      </c>
      <c r="E2" s="88">
        <v>1560.21</v>
      </c>
      <c r="F2" s="88">
        <v>1802.3</v>
      </c>
      <c r="G2" s="80">
        <v>1904.22</v>
      </c>
    </row>
    <row r="3" spans="1:7" x14ac:dyDescent="0.35">
      <c r="A3" s="85" t="s">
        <v>422</v>
      </c>
      <c r="B3" s="88">
        <v>288.49</v>
      </c>
      <c r="C3" s="88">
        <v>512.4</v>
      </c>
      <c r="D3" s="88">
        <v>645.72</v>
      </c>
      <c r="E3" s="88">
        <v>735</v>
      </c>
      <c r="F3" s="88">
        <v>864.07</v>
      </c>
      <c r="G3" s="80">
        <v>1138.54</v>
      </c>
    </row>
    <row r="4" spans="1:7" x14ac:dyDescent="0.35">
      <c r="A4" s="85" t="s">
        <v>563</v>
      </c>
      <c r="B4" s="88">
        <v>469.84</v>
      </c>
      <c r="C4" s="88">
        <v>680.51</v>
      </c>
      <c r="D4" s="88">
        <v>1134.31</v>
      </c>
      <c r="E4" s="88">
        <v>1394.19</v>
      </c>
      <c r="F4" s="88">
        <v>1460.08</v>
      </c>
      <c r="G4" s="80">
        <v>1554.22</v>
      </c>
    </row>
    <row r="5" spans="1:7" s="190" customFormat="1" x14ac:dyDescent="0.35">
      <c r="A5" s="189" t="s">
        <v>566</v>
      </c>
      <c r="B5" s="90">
        <f t="shared" ref="B5:G5" si="0">B4/B48</f>
        <v>3.550517645280737</v>
      </c>
      <c r="C5" s="90">
        <f t="shared" si="0"/>
        <v>2.3072046109510085</v>
      </c>
      <c r="D5" s="90">
        <f t="shared" si="0"/>
        <v>2.3283180754546571</v>
      </c>
      <c r="E5" s="90">
        <f t="shared" si="0"/>
        <v>2.0978197083916399</v>
      </c>
      <c r="F5" s="90">
        <f t="shared" si="0"/>
        <v>2.2610257680872148</v>
      </c>
      <c r="G5" s="90">
        <f t="shared" si="0"/>
        <v>2.5873911668248177</v>
      </c>
    </row>
    <row r="6" spans="1:7" x14ac:dyDescent="0.35">
      <c r="A6" s="85" t="s">
        <v>17</v>
      </c>
      <c r="B6" s="91">
        <v>0.55000000000000004</v>
      </c>
      <c r="C6" s="89">
        <v>0.86450000000000005</v>
      </c>
      <c r="D6" s="89">
        <v>0.80549999999999999</v>
      </c>
      <c r="E6" s="89">
        <v>0.56910000000000005</v>
      </c>
      <c r="F6" s="89">
        <v>0.5655</v>
      </c>
    </row>
    <row r="7" spans="1:7" x14ac:dyDescent="0.35">
      <c r="A7" s="85" t="s">
        <v>420</v>
      </c>
      <c r="B7" s="88">
        <v>37.35</v>
      </c>
      <c r="C7" s="88">
        <v>47.43</v>
      </c>
      <c r="D7" s="88">
        <v>59.47</v>
      </c>
      <c r="E7" s="88">
        <v>97.84</v>
      </c>
      <c r="F7" s="88">
        <v>87.37</v>
      </c>
    </row>
    <row r="8" spans="1:7" x14ac:dyDescent="0.35">
      <c r="A8" s="85" t="s">
        <v>421</v>
      </c>
      <c r="B8" s="89">
        <v>0.30070000000000002</v>
      </c>
      <c r="C8" s="89">
        <v>0.30359999999999998</v>
      </c>
      <c r="D8" s="89">
        <v>0.31459999999999999</v>
      </c>
      <c r="E8" s="91">
        <v>0.35</v>
      </c>
      <c r="F8" s="89">
        <v>0.30180000000000001</v>
      </c>
    </row>
    <row r="9" spans="1:7" x14ac:dyDescent="0.35">
      <c r="A9" s="85"/>
      <c r="B9" s="91"/>
      <c r="C9" s="89"/>
      <c r="D9" s="89"/>
      <c r="E9" s="89"/>
      <c r="F9" s="89"/>
    </row>
    <row r="10" spans="1:7" x14ac:dyDescent="0.35">
      <c r="A10" s="85" t="s">
        <v>423</v>
      </c>
      <c r="B10" s="89"/>
      <c r="C10" s="89">
        <f>C12/((B2+C2)/2)</f>
        <v>0.15930592936954571</v>
      </c>
      <c r="D10" s="89">
        <f>D12/((C2+D2)/2)</f>
        <v>0.1652035220345649</v>
      </c>
      <c r="E10" s="89">
        <f>E12/((D2+E2)/2)</f>
        <v>0.20118513508165339</v>
      </c>
      <c r="F10" s="89">
        <f>F12/((E2+F2)/2)</f>
        <v>0.17218090057724736</v>
      </c>
      <c r="G10" s="148">
        <v>5.5599999999999997E-2</v>
      </c>
    </row>
    <row r="11" spans="1:7" s="123" customFormat="1" x14ac:dyDescent="0.35">
      <c r="A11" s="121" t="s">
        <v>565</v>
      </c>
      <c r="B11" s="93">
        <v>1547.73</v>
      </c>
      <c r="C11" s="93">
        <v>1466.59</v>
      </c>
      <c r="D11" s="93">
        <v>1945.55</v>
      </c>
      <c r="E11" s="93">
        <v>2359.81</v>
      </c>
      <c r="F11" s="93">
        <v>2432.08</v>
      </c>
      <c r="G11" s="123">
        <v>899.72</v>
      </c>
    </row>
    <row r="12" spans="1:7" x14ac:dyDescent="0.35">
      <c r="A12" s="85" t="s">
        <v>419</v>
      </c>
      <c r="B12" s="88">
        <v>124.21</v>
      </c>
      <c r="C12" s="88">
        <v>156.26</v>
      </c>
      <c r="D12" s="88">
        <v>189.03</v>
      </c>
      <c r="E12" s="88">
        <v>279.58999999999997</v>
      </c>
      <c r="F12" s="88">
        <v>289.48</v>
      </c>
      <c r="G12" s="80">
        <v>102.98</v>
      </c>
    </row>
    <row r="13" spans="1:7" x14ac:dyDescent="0.35">
      <c r="A13" s="85" t="s">
        <v>5</v>
      </c>
      <c r="B13" s="89">
        <v>0.2802</v>
      </c>
      <c r="C13" s="89">
        <v>0.30499999999999999</v>
      </c>
      <c r="D13" s="89">
        <v>0.32679999999999998</v>
      </c>
      <c r="E13" s="89">
        <v>0.3538</v>
      </c>
      <c r="F13" s="89">
        <v>0.33479999999999999</v>
      </c>
      <c r="G13" s="148">
        <v>0.32500000000000001</v>
      </c>
    </row>
    <row r="14" spans="1:7" x14ac:dyDescent="0.35">
      <c r="A14" s="85" t="s">
        <v>363</v>
      </c>
      <c r="C14" s="89">
        <v>0.13450000000000001</v>
      </c>
      <c r="D14" s="89">
        <v>0.13439999999999999</v>
      </c>
      <c r="E14" s="89">
        <v>0.15909999999999999</v>
      </c>
      <c r="F14" s="89">
        <v>0.16470000000000001</v>
      </c>
      <c r="G14" s="148">
        <v>0.16320000000000001</v>
      </c>
    </row>
    <row r="15" spans="1:7" s="148" customFormat="1" x14ac:dyDescent="0.35">
      <c r="A15" s="163" t="s">
        <v>478</v>
      </c>
      <c r="B15" s="89"/>
      <c r="C15" s="89">
        <f>15633557875.88/146623004012.02</f>
        <v>0.10662418207308301</v>
      </c>
      <c r="D15" s="89">
        <f>18903715264.07/194513842492.17</f>
        <v>9.7184421539721275E-2</v>
      </c>
      <c r="E15" s="89">
        <f>27959019793.11/235933564582.09</f>
        <v>0.11850378237888246</v>
      </c>
      <c r="F15" s="89">
        <f>28948429856.66/243094868536.68</f>
        <v>0.11908285037407954</v>
      </c>
      <c r="G15" s="148">
        <f>10298106797.57/89913999296.48</f>
        <v>0.11453285226045057</v>
      </c>
    </row>
    <row r="16" spans="1:7" x14ac:dyDescent="0.35">
      <c r="A16" s="85"/>
      <c r="B16" s="89"/>
      <c r="C16" s="89"/>
      <c r="D16" s="89"/>
      <c r="E16" s="91"/>
      <c r="F16" s="89"/>
    </row>
    <row r="17" spans="1:7" x14ac:dyDescent="0.35">
      <c r="A17" s="85" t="s">
        <v>350</v>
      </c>
      <c r="B17" s="88">
        <v>2101</v>
      </c>
      <c r="C17" s="88">
        <v>3092</v>
      </c>
      <c r="D17" s="88">
        <v>4048.17</v>
      </c>
      <c r="E17" s="93">
        <v>4618.4799999999996</v>
      </c>
      <c r="F17" s="88">
        <v>5208.4799999999996</v>
      </c>
      <c r="G17" s="80">
        <v>2851.85</v>
      </c>
    </row>
    <row r="18" spans="1:7" x14ac:dyDescent="0.35">
      <c r="A18" s="85" t="s">
        <v>369</v>
      </c>
      <c r="C18" s="88">
        <v>2242</v>
      </c>
      <c r="D18" s="88">
        <v>2766.11</v>
      </c>
      <c r="E18" s="93">
        <v>3123.12</v>
      </c>
      <c r="F18" s="88">
        <v>3409.19</v>
      </c>
      <c r="G18" s="80">
        <v>1671.29</v>
      </c>
    </row>
    <row r="19" spans="1:7" x14ac:dyDescent="0.35">
      <c r="A19" s="85" t="s">
        <v>424</v>
      </c>
      <c r="C19" s="90">
        <f>C17/C18*10000</f>
        <v>13791.257805530777</v>
      </c>
      <c r="D19" s="90">
        <f t="shared" ref="D19:E19" si="1">D17/D18*10000</f>
        <v>14634.884368300609</v>
      </c>
      <c r="E19" s="90">
        <f t="shared" si="1"/>
        <v>14788.032480340173</v>
      </c>
      <c r="F19" s="90">
        <f>F17/F18*10000</f>
        <v>15277.76392632854</v>
      </c>
      <c r="G19" s="90">
        <f>G17/G18*10000</f>
        <v>17063.765115569407</v>
      </c>
    </row>
    <row r="20" spans="1:7" x14ac:dyDescent="0.35">
      <c r="A20" s="85" t="s">
        <v>365</v>
      </c>
      <c r="B20" s="91"/>
      <c r="C20" s="91">
        <v>0.7</v>
      </c>
      <c r="D20" s="91">
        <v>0.77</v>
      </c>
      <c r="E20" s="91">
        <v>0.77</v>
      </c>
      <c r="F20" s="91">
        <v>0.75</v>
      </c>
      <c r="G20" s="81">
        <v>0.77</v>
      </c>
    </row>
    <row r="21" spans="1:7" x14ac:dyDescent="0.35">
      <c r="A21" s="85" t="s">
        <v>344</v>
      </c>
      <c r="B21" s="88">
        <v>2041</v>
      </c>
      <c r="C21" s="88">
        <v>2644</v>
      </c>
      <c r="D21" s="88">
        <v>3562</v>
      </c>
      <c r="E21" s="88">
        <v>4312</v>
      </c>
      <c r="F21" s="88">
        <v>4706</v>
      </c>
      <c r="G21" s="80">
        <v>2556</v>
      </c>
    </row>
    <row r="22" spans="1:7" x14ac:dyDescent="0.35">
      <c r="A22" s="85" t="s">
        <v>364</v>
      </c>
      <c r="B22" s="91">
        <v>0.97</v>
      </c>
      <c r="C22" s="89">
        <v>0.85499999999999998</v>
      </c>
      <c r="D22" s="91">
        <v>0.88</v>
      </c>
      <c r="E22" s="91">
        <v>0.93</v>
      </c>
      <c r="F22" s="89">
        <v>0.93600000000000005</v>
      </c>
      <c r="G22" s="148">
        <v>0.89600000000000002</v>
      </c>
    </row>
    <row r="23" spans="1:7" x14ac:dyDescent="0.35">
      <c r="A23" s="85" t="s">
        <v>351</v>
      </c>
      <c r="D23" s="89">
        <v>2.7E-2</v>
      </c>
      <c r="E23" s="89">
        <v>2.8899999999999999E-2</v>
      </c>
      <c r="F23" s="89">
        <v>2.9000000000000001E-2</v>
      </c>
    </row>
    <row r="24" spans="1:7" x14ac:dyDescent="0.35">
      <c r="A24" s="85" t="s">
        <v>349</v>
      </c>
      <c r="C24" s="88">
        <v>528.29999999999995</v>
      </c>
      <c r="D24" s="88">
        <v>642.41</v>
      </c>
      <c r="E24" s="93">
        <v>883.66</v>
      </c>
      <c r="F24" s="88">
        <v>1205</v>
      </c>
    </row>
    <row r="25" spans="1:7" x14ac:dyDescent="0.35">
      <c r="A25" s="85"/>
      <c r="E25" s="93"/>
    </row>
    <row r="26" spans="1:7" x14ac:dyDescent="0.35">
      <c r="A26" s="85" t="s">
        <v>26</v>
      </c>
      <c r="B26" s="88">
        <v>112</v>
      </c>
      <c r="C26" s="88">
        <v>204</v>
      </c>
      <c r="D26" s="88">
        <v>132</v>
      </c>
      <c r="E26" s="94">
        <v>127</v>
      </c>
      <c r="F26" s="88">
        <v>146</v>
      </c>
      <c r="G26" s="80">
        <v>84</v>
      </c>
    </row>
    <row r="27" spans="1:7" x14ac:dyDescent="0.35">
      <c r="A27" s="85" t="s">
        <v>353</v>
      </c>
      <c r="B27" s="88">
        <v>2404</v>
      </c>
      <c r="C27" s="88">
        <v>4520</v>
      </c>
      <c r="D27" s="88">
        <v>3116</v>
      </c>
      <c r="E27" s="94">
        <v>2680</v>
      </c>
      <c r="F27" s="88">
        <v>3186</v>
      </c>
      <c r="G27" s="80">
        <v>1651</v>
      </c>
    </row>
    <row r="28" spans="1:7" x14ac:dyDescent="0.35">
      <c r="A28" s="85" t="s">
        <v>368</v>
      </c>
      <c r="B28" s="88">
        <v>1214</v>
      </c>
      <c r="C28" s="88">
        <v>2765</v>
      </c>
      <c r="D28" s="88">
        <v>1927</v>
      </c>
      <c r="E28" s="94">
        <v>1555</v>
      </c>
      <c r="F28" s="88">
        <v>2353</v>
      </c>
      <c r="G28" s="80">
        <v>963</v>
      </c>
    </row>
    <row r="29" spans="1:7" hidden="1" x14ac:dyDescent="0.35">
      <c r="A29" s="85" t="s">
        <v>354</v>
      </c>
      <c r="E29" s="91">
        <v>0.71</v>
      </c>
    </row>
    <row r="30" spans="1:7" hidden="1" x14ac:dyDescent="0.35">
      <c r="A30" s="85" t="s">
        <v>355</v>
      </c>
      <c r="E30" s="94">
        <v>1916</v>
      </c>
    </row>
    <row r="31" spans="1:7" x14ac:dyDescent="0.35">
      <c r="A31" s="85" t="s">
        <v>356</v>
      </c>
      <c r="C31" s="88">
        <v>6118</v>
      </c>
      <c r="D31" s="88">
        <v>6186</v>
      </c>
      <c r="E31" s="94">
        <v>5802</v>
      </c>
      <c r="F31" s="88">
        <v>7388</v>
      </c>
      <c r="G31" s="80">
        <v>5833</v>
      </c>
    </row>
    <row r="32" spans="1:7" hidden="1" x14ac:dyDescent="0.35">
      <c r="A32" s="85" t="s">
        <v>357</v>
      </c>
      <c r="E32" s="91">
        <v>0.14000000000000001</v>
      </c>
    </row>
    <row r="33" spans="1:7" hidden="1" x14ac:dyDescent="0.35">
      <c r="A33" s="85" t="s">
        <v>358</v>
      </c>
      <c r="E33" s="91">
        <v>0.84</v>
      </c>
    </row>
    <row r="34" spans="1:7" hidden="1" x14ac:dyDescent="0.35">
      <c r="A34" s="85" t="s">
        <v>359</v>
      </c>
      <c r="E34" s="94">
        <v>38</v>
      </c>
    </row>
    <row r="35" spans="1:7" hidden="1" x14ac:dyDescent="0.35">
      <c r="A35" s="85" t="s">
        <v>360</v>
      </c>
      <c r="E35" s="91">
        <v>0.79</v>
      </c>
    </row>
    <row r="36" spans="1:7" x14ac:dyDescent="0.35">
      <c r="A36" s="85"/>
      <c r="E36" s="93"/>
    </row>
    <row r="37" spans="1:7" x14ac:dyDescent="0.35">
      <c r="A37" s="85" t="s">
        <v>246</v>
      </c>
      <c r="D37" s="88">
        <v>4396</v>
      </c>
      <c r="E37" s="94">
        <v>4983</v>
      </c>
      <c r="F37" s="88">
        <v>4630</v>
      </c>
      <c r="G37" s="80">
        <v>2781.33</v>
      </c>
    </row>
    <row r="38" spans="1:7" x14ac:dyDescent="0.35">
      <c r="A38" s="85" t="s">
        <v>248</v>
      </c>
      <c r="D38" s="88">
        <v>2217</v>
      </c>
      <c r="E38" s="94">
        <v>2973</v>
      </c>
      <c r="F38" s="88">
        <v>3986</v>
      </c>
      <c r="G38" s="80">
        <v>1415.49</v>
      </c>
    </row>
    <row r="39" spans="1:7" x14ac:dyDescent="0.35">
      <c r="A39" s="85" t="s">
        <v>416</v>
      </c>
      <c r="B39" s="88">
        <v>5708</v>
      </c>
      <c r="C39" s="88">
        <v>7504</v>
      </c>
      <c r="D39" s="88">
        <v>10390</v>
      </c>
      <c r="E39" s="94">
        <v>13158</v>
      </c>
      <c r="F39" s="88">
        <v>17096</v>
      </c>
    </row>
    <row r="40" spans="1:7" x14ac:dyDescent="0.35">
      <c r="A40" s="85" t="s">
        <v>362</v>
      </c>
      <c r="E40" s="91">
        <v>0.57999999999999996</v>
      </c>
      <c r="F40" s="91">
        <v>0.65</v>
      </c>
    </row>
    <row r="41" spans="1:7" x14ac:dyDescent="0.35">
      <c r="A41" s="85" t="s">
        <v>361</v>
      </c>
      <c r="B41" s="88">
        <v>6344</v>
      </c>
      <c r="C41" s="88">
        <v>9090</v>
      </c>
      <c r="D41" s="88">
        <v>9154</v>
      </c>
      <c r="E41" s="94">
        <v>8112</v>
      </c>
      <c r="F41" s="88">
        <v>7747</v>
      </c>
      <c r="G41" s="80">
        <v>7322.76</v>
      </c>
    </row>
    <row r="42" spans="1:7" hidden="1" x14ac:dyDescent="0.35">
      <c r="A42" s="85"/>
      <c r="E42" s="91"/>
    </row>
    <row r="43" spans="1:7" hidden="1" x14ac:dyDescent="0.35">
      <c r="A43" s="85" t="s">
        <v>366</v>
      </c>
      <c r="C43" s="88">
        <v>81</v>
      </c>
      <c r="D43" s="88">
        <v>75</v>
      </c>
      <c r="E43" s="91"/>
    </row>
    <row r="44" spans="1:7" hidden="1" x14ac:dyDescent="0.35">
      <c r="A44" s="85" t="s">
        <v>367</v>
      </c>
      <c r="C44" s="88">
        <v>2190</v>
      </c>
      <c r="D44" s="88">
        <f>D27*0.58</f>
        <v>1807.28</v>
      </c>
      <c r="E44" s="91"/>
    </row>
    <row r="45" spans="1:7" x14ac:dyDescent="0.35">
      <c r="A45" s="85"/>
      <c r="E45" s="91"/>
    </row>
    <row r="46" spans="1:7" x14ac:dyDescent="0.35">
      <c r="A46" s="85" t="s">
        <v>160</v>
      </c>
      <c r="B46" s="88">
        <v>1122</v>
      </c>
      <c r="C46" s="88">
        <v>2046</v>
      </c>
      <c r="D46" s="88">
        <v>2636.57</v>
      </c>
      <c r="E46" s="88">
        <v>2700.49</v>
      </c>
      <c r="F46" s="88">
        <v>2968.03</v>
      </c>
      <c r="G46" s="80">
        <v>3341</v>
      </c>
    </row>
    <row r="47" spans="1:7" x14ac:dyDescent="0.35">
      <c r="A47" s="85" t="s">
        <v>343</v>
      </c>
      <c r="B47" s="89">
        <v>4.6899999999999997E-2</v>
      </c>
      <c r="C47" s="89">
        <v>4.82E-2</v>
      </c>
      <c r="D47" s="89">
        <v>5.0299999999999997E-2</v>
      </c>
      <c r="E47" s="89">
        <v>4.9500000000000002E-2</v>
      </c>
      <c r="F47" s="89">
        <v>4.7699999999999999E-2</v>
      </c>
      <c r="G47" s="148">
        <v>4.7E-2</v>
      </c>
    </row>
    <row r="48" spans="1:7" s="123" customFormat="1" x14ac:dyDescent="0.35">
      <c r="A48" s="121" t="s">
        <v>564</v>
      </c>
      <c r="B48" s="93">
        <v>132.33000000000001</v>
      </c>
      <c r="C48" s="93">
        <v>294.95</v>
      </c>
      <c r="D48" s="93">
        <v>487.18</v>
      </c>
      <c r="E48" s="93">
        <v>664.59</v>
      </c>
      <c r="F48" s="93">
        <v>645.76</v>
      </c>
      <c r="G48" s="123">
        <v>600.69000000000005</v>
      </c>
    </row>
    <row r="49" spans="1:8" x14ac:dyDescent="0.35">
      <c r="A49" s="85" t="s">
        <v>39</v>
      </c>
      <c r="B49" s="88">
        <v>44.92</v>
      </c>
      <c r="C49" s="88">
        <v>103.57</v>
      </c>
      <c r="D49" s="88">
        <v>94.04</v>
      </c>
      <c r="E49" s="90">
        <v>99.71</v>
      </c>
      <c r="F49" s="88">
        <v>100.83</v>
      </c>
    </row>
    <row r="50" spans="1:8" x14ac:dyDescent="0.35">
      <c r="A50" s="85" t="s">
        <v>204</v>
      </c>
      <c r="B50" s="88">
        <v>104.8</v>
      </c>
      <c r="C50" s="88">
        <v>103.57</v>
      </c>
      <c r="D50" s="88">
        <v>111.38</v>
      </c>
      <c r="E50" s="90">
        <v>122.68</v>
      </c>
      <c r="F50" s="88">
        <v>153.96</v>
      </c>
      <c r="G50" s="80">
        <v>178.67</v>
      </c>
    </row>
    <row r="51" spans="1:8" hidden="1" x14ac:dyDescent="0.35">
      <c r="A51" s="85" t="s">
        <v>417</v>
      </c>
      <c r="B51" s="91"/>
      <c r="C51" s="89"/>
      <c r="D51" s="89"/>
      <c r="E51" s="89"/>
      <c r="F51" s="89">
        <v>0.68740000000000001</v>
      </c>
    </row>
    <row r="52" spans="1:8" hidden="1" x14ac:dyDescent="0.35">
      <c r="A52" s="85" t="s">
        <v>418</v>
      </c>
      <c r="B52" s="91"/>
      <c r="C52" s="89"/>
      <c r="D52" s="89"/>
      <c r="E52" s="89"/>
      <c r="F52" s="90">
        <v>1.82</v>
      </c>
    </row>
    <row r="53" spans="1:8" x14ac:dyDescent="0.35">
      <c r="A53" s="85" t="s">
        <v>58</v>
      </c>
      <c r="B53" s="92">
        <v>35.450000000000003</v>
      </c>
      <c r="C53" s="92">
        <v>38.83</v>
      </c>
      <c r="D53" s="92">
        <v>59.12</v>
      </c>
      <c r="E53" s="92">
        <v>66.81</v>
      </c>
      <c r="F53" s="92">
        <v>68.77</v>
      </c>
      <c r="G53" s="82">
        <v>24.73</v>
      </c>
      <c r="H53" s="82"/>
    </row>
    <row r="54" spans="1:8" x14ac:dyDescent="0.35">
      <c r="A54" s="85" t="s">
        <v>59</v>
      </c>
      <c r="B54" s="92">
        <v>22.67</v>
      </c>
      <c r="C54" s="92">
        <v>28.23</v>
      </c>
      <c r="D54" s="92">
        <v>34.950000000000003</v>
      </c>
      <c r="E54" s="92">
        <v>42.33</v>
      </c>
      <c r="F54" s="92">
        <v>43.15</v>
      </c>
      <c r="G54" s="82">
        <v>23.29</v>
      </c>
      <c r="H54" s="82"/>
    </row>
    <row r="55" spans="1:8" x14ac:dyDescent="0.35">
      <c r="A55" s="85" t="s">
        <v>463</v>
      </c>
      <c r="B55" s="92">
        <v>1555.43</v>
      </c>
      <c r="C55" s="92">
        <v>2261.89</v>
      </c>
      <c r="D55" s="92">
        <v>2997.95</v>
      </c>
      <c r="E55" s="92">
        <v>3287.5</v>
      </c>
      <c r="F55" s="92">
        <v>3664.99</v>
      </c>
      <c r="G55" s="82">
        <v>4431.47</v>
      </c>
      <c r="H55" s="82"/>
    </row>
    <row r="56" spans="1:8" x14ac:dyDescent="0.35">
      <c r="A56" s="85"/>
      <c r="E56" s="93"/>
    </row>
    <row r="57" spans="1:8" x14ac:dyDescent="0.35">
      <c r="A57" s="85" t="s">
        <v>345</v>
      </c>
    </row>
    <row r="58" spans="1:8" x14ac:dyDescent="0.35">
      <c r="A58" s="85" t="s">
        <v>346</v>
      </c>
      <c r="E58" s="88" t="s">
        <v>347</v>
      </c>
    </row>
    <row r="59" spans="1:8" x14ac:dyDescent="0.35">
      <c r="A59" s="85" t="s">
        <v>169</v>
      </c>
      <c r="E59" s="88" t="s">
        <v>348</v>
      </c>
    </row>
    <row r="60" spans="1:8" x14ac:dyDescent="0.35">
      <c r="A60" s="85" t="s">
        <v>167</v>
      </c>
      <c r="E60" s="88" t="s">
        <v>168</v>
      </c>
    </row>
  </sheetData>
  <phoneticPr fontId="1" type="noConversion"/>
  <conditionalFormatting sqref="A27:XFD27">
    <cfRule type="colorScale" priority="5">
      <colorScale>
        <cfvo type="min"/>
        <cfvo type="max"/>
        <color rgb="FFFFEF9C"/>
        <color rgb="FF63BE7B"/>
      </colorScale>
    </cfRule>
  </conditionalFormatting>
  <conditionalFormatting sqref="A18:XFD18">
    <cfRule type="colorScale" priority="4">
      <colorScale>
        <cfvo type="min"/>
        <cfvo type="max"/>
        <color rgb="FFFFEF9C"/>
        <color rgb="FF63BE7B"/>
      </colorScale>
    </cfRule>
  </conditionalFormatting>
  <conditionalFormatting sqref="A31:XFD31">
    <cfRule type="colorScale" priority="2">
      <colorScale>
        <cfvo type="min"/>
        <cfvo type="max"/>
        <color rgb="FF63BE7B"/>
        <color rgb="FFFFEF9C"/>
      </colorScale>
    </cfRule>
  </conditionalFormatting>
  <conditionalFormatting sqref="A19:XFD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7F0A-3805-470C-8575-B5D9C7A72148}">
  <dimension ref="A1:F31"/>
  <sheetViews>
    <sheetView workbookViewId="0">
      <selection activeCell="I34" sqref="I34"/>
    </sheetView>
  </sheetViews>
  <sheetFormatPr defaultRowHeight="14.25" x14ac:dyDescent="0.2"/>
  <cols>
    <col min="1" max="1" width="19.5" style="1" customWidth="1"/>
    <col min="2" max="3" width="0" style="2" hidden="1" customWidth="1"/>
    <col min="4" max="16384" width="9" style="2"/>
  </cols>
  <sheetData>
    <row r="1" spans="1:6" s="15" customFormat="1" x14ac:dyDescent="0.2">
      <c r="A1" s="14" t="s">
        <v>458</v>
      </c>
      <c r="B1" s="15" t="s">
        <v>4</v>
      </c>
      <c r="C1" s="15" t="s">
        <v>3</v>
      </c>
      <c r="D1" s="15" t="s">
        <v>2</v>
      </c>
      <c r="E1" s="15" t="s">
        <v>1</v>
      </c>
      <c r="F1" s="15" t="s">
        <v>448</v>
      </c>
    </row>
    <row r="2" spans="1:6" s="15" customFormat="1" x14ac:dyDescent="0.2">
      <c r="A2" s="14" t="s">
        <v>450</v>
      </c>
      <c r="D2" s="15">
        <v>274.27</v>
      </c>
      <c r="E2" s="15">
        <v>280.69</v>
      </c>
      <c r="F2" s="15">
        <v>274.45999999999998</v>
      </c>
    </row>
    <row r="3" spans="1:6" s="15" customFormat="1" x14ac:dyDescent="0.2">
      <c r="A3" s="14" t="s">
        <v>459</v>
      </c>
      <c r="D3" s="15">
        <v>106.71</v>
      </c>
      <c r="E3" s="15">
        <v>75.260000000000005</v>
      </c>
      <c r="F3" s="15">
        <v>107.24</v>
      </c>
    </row>
    <row r="4" spans="1:6" s="15" customFormat="1" x14ac:dyDescent="0.2">
      <c r="A4" s="14" t="s">
        <v>449</v>
      </c>
      <c r="D4" s="15">
        <v>33.299999999999997</v>
      </c>
      <c r="E4" s="15">
        <v>43.75</v>
      </c>
      <c r="F4" s="15">
        <v>27</v>
      </c>
    </row>
    <row r="5" spans="1:6" x14ac:dyDescent="0.2">
      <c r="A5" s="1" t="s">
        <v>32</v>
      </c>
      <c r="D5" s="2">
        <v>195.45</v>
      </c>
      <c r="E5" s="2">
        <v>241.33</v>
      </c>
      <c r="F5" s="2">
        <v>262.54000000000002</v>
      </c>
    </row>
    <row r="6" spans="1:6" x14ac:dyDescent="0.2">
      <c r="A6" s="1" t="s">
        <v>208</v>
      </c>
      <c r="D6" s="2">
        <v>537.33000000000004</v>
      </c>
      <c r="E6" s="2">
        <v>647.1</v>
      </c>
      <c r="F6" s="2">
        <v>432.87</v>
      </c>
    </row>
    <row r="7" spans="1:6" x14ac:dyDescent="0.2">
      <c r="A7" s="1" t="s">
        <v>227</v>
      </c>
      <c r="D7" s="2">
        <v>504.44</v>
      </c>
      <c r="E7" s="2">
        <v>530.34</v>
      </c>
      <c r="F7" s="2">
        <v>318.55</v>
      </c>
    </row>
    <row r="8" spans="1:6" x14ac:dyDescent="0.2">
      <c r="A8" s="1" t="s">
        <v>230</v>
      </c>
      <c r="D8" s="7">
        <f t="shared" ref="D8:E8" si="0">D6/D7*10000</f>
        <v>10652.010149869162</v>
      </c>
      <c r="E8" s="7">
        <f t="shared" si="0"/>
        <v>12201.606516574273</v>
      </c>
      <c r="F8" s="7">
        <f>F6/F7*10000</f>
        <v>13588.761575890756</v>
      </c>
    </row>
    <row r="9" spans="1:6" s="10" customFormat="1" x14ac:dyDescent="0.2">
      <c r="A9" s="147" t="s">
        <v>456</v>
      </c>
      <c r="D9" s="10">
        <v>546.19000000000005</v>
      </c>
      <c r="E9" s="10">
        <v>703.36</v>
      </c>
      <c r="F9" s="10">
        <v>789.81</v>
      </c>
    </row>
    <row r="10" spans="1:6" x14ac:dyDescent="0.2">
      <c r="A10" s="1" t="s">
        <v>58</v>
      </c>
      <c r="D10" s="2">
        <v>11.48</v>
      </c>
      <c r="E10" s="2">
        <v>13.69</v>
      </c>
      <c r="F10" s="2">
        <v>7.05</v>
      </c>
    </row>
    <row r="11" spans="1:6" x14ac:dyDescent="0.2">
      <c r="A11" s="1" t="s">
        <v>59</v>
      </c>
      <c r="D11" s="2">
        <v>7.93</v>
      </c>
      <c r="E11" s="2">
        <v>10.7</v>
      </c>
      <c r="F11" s="2">
        <v>5.38</v>
      </c>
    </row>
    <row r="12" spans="1:6" x14ac:dyDescent="0.2">
      <c r="A12" s="1" t="s">
        <v>210</v>
      </c>
      <c r="D12" s="2">
        <v>6.6749999999999998</v>
      </c>
      <c r="E12" s="4">
        <v>9.4139999999999997</v>
      </c>
    </row>
    <row r="13" spans="1:6" s="3" customFormat="1" x14ac:dyDescent="0.2">
      <c r="A13" s="145" t="s">
        <v>457</v>
      </c>
      <c r="D13" s="3">
        <f>D12/D4</f>
        <v>0.20045045045045046</v>
      </c>
      <c r="E13" s="3">
        <f>E12/E4</f>
        <v>0.21517714285714284</v>
      </c>
    </row>
    <row r="15" spans="1:6" x14ac:dyDescent="0.2">
      <c r="A15" s="1" t="s">
        <v>26</v>
      </c>
      <c r="E15" s="2">
        <v>47</v>
      </c>
      <c r="F15" s="2">
        <f>26+3</f>
        <v>29</v>
      </c>
    </row>
    <row r="16" spans="1:6" x14ac:dyDescent="0.2">
      <c r="A16" s="1" t="s">
        <v>213</v>
      </c>
      <c r="D16" s="2">
        <v>619.21</v>
      </c>
      <c r="E16" s="2">
        <v>1156.92</v>
      </c>
      <c r="F16" s="2">
        <v>604.21</v>
      </c>
    </row>
    <row r="17" spans="1:6" x14ac:dyDescent="0.2">
      <c r="A17" s="1" t="s">
        <v>452</v>
      </c>
      <c r="D17" s="2">
        <v>278.60000000000002</v>
      </c>
      <c r="E17" s="2">
        <v>462.33</v>
      </c>
      <c r="F17" s="2">
        <v>265.13</v>
      </c>
    </row>
    <row r="18" spans="1:6" s="4" customFormat="1" x14ac:dyDescent="0.2">
      <c r="A18" s="144" t="s">
        <v>318</v>
      </c>
      <c r="D18" s="4">
        <f t="shared" ref="D18:E18" si="1">D17/D16*10000</f>
        <v>4499.2813423555826</v>
      </c>
      <c r="E18" s="4">
        <f t="shared" si="1"/>
        <v>3996.2140856757596</v>
      </c>
      <c r="F18" s="4">
        <f>F17/F16*10000</f>
        <v>4388.0438920242959</v>
      </c>
    </row>
    <row r="20" spans="1:6" x14ac:dyDescent="0.2">
      <c r="A20" s="1" t="s">
        <v>453</v>
      </c>
      <c r="D20" s="2">
        <v>2400.9299999999998</v>
      </c>
      <c r="E20" s="2">
        <v>3010.66</v>
      </c>
      <c r="F20" s="2">
        <v>3253.57</v>
      </c>
    </row>
    <row r="21" spans="1:6" x14ac:dyDescent="0.2">
      <c r="A21" s="1" t="s">
        <v>455</v>
      </c>
      <c r="D21" s="2">
        <v>2194.17</v>
      </c>
      <c r="E21" s="2">
        <v>2661.71</v>
      </c>
      <c r="F21" s="2">
        <v>2891.53</v>
      </c>
    </row>
    <row r="22" spans="1:6" s="3" customFormat="1" x14ac:dyDescent="0.2">
      <c r="A22" s="145" t="s">
        <v>454</v>
      </c>
      <c r="D22" s="3">
        <f>(D21/D20)</f>
        <v>0.91388337019404986</v>
      </c>
      <c r="E22" s="3">
        <f>(E21/E20)</f>
        <v>0.88409518178738222</v>
      </c>
      <c r="F22" s="3">
        <f>(F21/F20)</f>
        <v>0.8887253078925611</v>
      </c>
    </row>
    <row r="24" spans="1:6" s="17" customFormat="1" x14ac:dyDescent="0.2">
      <c r="A24" s="146" t="s">
        <v>5</v>
      </c>
      <c r="D24" s="17">
        <v>0.33</v>
      </c>
      <c r="E24" s="17">
        <v>0.26900000000000002</v>
      </c>
      <c r="F24" s="17">
        <v>0.23300000000000001</v>
      </c>
    </row>
    <row r="25" spans="1:6" s="17" customFormat="1" x14ac:dyDescent="0.2">
      <c r="A25" s="146" t="s">
        <v>478</v>
      </c>
      <c r="D25" s="17">
        <f>D4/285.91</f>
        <v>0.11647021790073797</v>
      </c>
      <c r="E25" s="17">
        <f>E4/429.09</f>
        <v>0.10195996177958004</v>
      </c>
      <c r="F25" s="17">
        <f>F4/257.38</f>
        <v>0.10490325588623825</v>
      </c>
    </row>
    <row r="27" spans="1:6" ht="13.5" customHeight="1" x14ac:dyDescent="0.2">
      <c r="A27" s="1" t="s">
        <v>160</v>
      </c>
      <c r="D27" s="2">
        <f>E27-98.82</f>
        <v>272.68</v>
      </c>
      <c r="E27" s="2">
        <v>371.5</v>
      </c>
      <c r="F27" s="2">
        <v>384.24</v>
      </c>
    </row>
    <row r="28" spans="1:6" x14ac:dyDescent="0.2">
      <c r="A28" s="1" t="s">
        <v>161</v>
      </c>
      <c r="D28" s="2">
        <v>114.96</v>
      </c>
      <c r="E28" s="2">
        <v>96.28</v>
      </c>
      <c r="F28" s="2">
        <v>135.01</v>
      </c>
    </row>
    <row r="29" spans="1:6" x14ac:dyDescent="0.2">
      <c r="A29" s="1" t="s">
        <v>17</v>
      </c>
      <c r="B29" s="6"/>
      <c r="C29" s="3"/>
      <c r="D29" s="3">
        <v>0.156</v>
      </c>
      <c r="E29" s="3">
        <v>0.45500000000000002</v>
      </c>
      <c r="F29" s="3">
        <v>0.48</v>
      </c>
    </row>
    <row r="31" spans="1:6" hidden="1" x14ac:dyDescent="0.2">
      <c r="A31" s="1" t="s">
        <v>225</v>
      </c>
      <c r="D31" s="2">
        <f>177.21+304.54</f>
        <v>481.75</v>
      </c>
      <c r="E31" s="2">
        <f>261.21+346.86</f>
        <v>608.06999999999994</v>
      </c>
      <c r="F31" s="2">
        <f>310.94+365.85</f>
        <v>676.79</v>
      </c>
    </row>
  </sheetData>
  <phoneticPr fontId="1" type="noConversion"/>
  <conditionalFormatting sqref="A7:XFD7">
    <cfRule type="colorScale" priority="1">
      <colorScale>
        <cfvo type="min"/>
        <cfvo type="max"/>
        <color rgb="FFFFEF9C"/>
        <color rgb="FF63BE7B"/>
      </colorScale>
    </cfRule>
  </conditionalFormatting>
  <conditionalFormatting sqref="A16:XFD1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A590-7C88-4180-A3CD-57468A62BA60}">
  <dimension ref="A1:P54"/>
  <sheetViews>
    <sheetView workbookViewId="0">
      <selection activeCell="J26" sqref="J26"/>
    </sheetView>
  </sheetViews>
  <sheetFormatPr defaultRowHeight="14.25" x14ac:dyDescent="0.2"/>
  <cols>
    <col min="1" max="1" width="23" style="43" customWidth="1"/>
    <col min="2" max="2" width="10.875" style="43" customWidth="1"/>
    <col min="3" max="3" width="11" style="43" customWidth="1"/>
    <col min="4" max="4" width="10.375" style="43" customWidth="1"/>
    <col min="5" max="5" width="11.25" style="43" customWidth="1"/>
    <col min="6" max="6" width="9.875" style="43" customWidth="1"/>
    <col min="7" max="16384" width="9" style="43"/>
  </cols>
  <sheetData>
    <row r="1" spans="1:16" s="105" customFormat="1" ht="21" customHeight="1" x14ac:dyDescent="0.2">
      <c r="A1" s="105" t="s">
        <v>179</v>
      </c>
      <c r="B1" s="105" t="s">
        <v>180</v>
      </c>
      <c r="C1" s="105" t="s">
        <v>4</v>
      </c>
      <c r="D1" s="105" t="s">
        <v>3</v>
      </c>
      <c r="E1" s="105" t="s">
        <v>2</v>
      </c>
      <c r="F1" s="105" t="s">
        <v>192</v>
      </c>
      <c r="G1" s="188" t="s">
        <v>552</v>
      </c>
    </row>
    <row r="2" spans="1:16" ht="17.100000000000001" customHeight="1" x14ac:dyDescent="0.2">
      <c r="A2" s="56" t="s">
        <v>128</v>
      </c>
      <c r="B2" s="51">
        <v>132</v>
      </c>
      <c r="C2" s="51">
        <v>191.5</v>
      </c>
      <c r="D2" s="51">
        <v>229.8</v>
      </c>
      <c r="E2" s="51">
        <v>267.44</v>
      </c>
      <c r="F2" s="51">
        <v>306.93</v>
      </c>
      <c r="G2" s="51">
        <v>300.91000000000003</v>
      </c>
      <c r="H2" s="51"/>
      <c r="I2" s="51"/>
      <c r="J2" s="51"/>
      <c r="K2" s="51"/>
      <c r="L2" s="51"/>
      <c r="M2" s="51"/>
      <c r="N2" s="51"/>
      <c r="O2" s="51"/>
      <c r="P2" s="51"/>
    </row>
    <row r="3" spans="1:16" ht="17.100000000000001" customHeight="1" x14ac:dyDescent="0.2">
      <c r="A3" s="56" t="s">
        <v>592</v>
      </c>
      <c r="B3" s="51">
        <v>57.21</v>
      </c>
      <c r="C3" s="51">
        <v>114.19</v>
      </c>
      <c r="D3" s="51">
        <v>180.51</v>
      </c>
      <c r="E3" s="51">
        <v>241.54</v>
      </c>
      <c r="F3" s="51">
        <v>285.64</v>
      </c>
      <c r="G3" s="51">
        <v>284.68</v>
      </c>
      <c r="H3" s="51"/>
      <c r="I3" s="51"/>
      <c r="J3" s="51"/>
      <c r="K3" s="51"/>
      <c r="L3" s="51"/>
      <c r="M3" s="51"/>
      <c r="N3" s="51"/>
      <c r="O3" s="51"/>
      <c r="P3" s="51"/>
    </row>
    <row r="4" spans="1:16" ht="17.100000000000001" customHeight="1" x14ac:dyDescent="0.2">
      <c r="A4" s="56" t="s">
        <v>557</v>
      </c>
      <c r="B4" s="51">
        <v>188.89</v>
      </c>
      <c r="C4" s="51">
        <v>363.74</v>
      </c>
      <c r="D4" s="51">
        <v>378.48</v>
      </c>
      <c r="E4" s="51">
        <v>419.78</v>
      </c>
      <c r="F4" s="51">
        <v>498.05</v>
      </c>
      <c r="G4" s="51">
        <v>403.73</v>
      </c>
      <c r="H4" s="51"/>
      <c r="I4" s="51"/>
      <c r="J4" s="51"/>
      <c r="K4" s="51"/>
      <c r="L4" s="51"/>
      <c r="M4" s="51"/>
      <c r="N4" s="51"/>
      <c r="O4" s="51"/>
      <c r="P4" s="51"/>
    </row>
    <row r="5" spans="1:16" ht="17.100000000000001" customHeight="1" x14ac:dyDescent="0.2">
      <c r="A5" s="56" t="s">
        <v>589</v>
      </c>
      <c r="B5" s="51">
        <v>25.81</v>
      </c>
      <c r="C5" s="51">
        <v>35.78</v>
      </c>
      <c r="D5" s="51">
        <v>54.02</v>
      </c>
      <c r="E5" s="51">
        <v>52.87</v>
      </c>
      <c r="F5" s="51">
        <v>92.9</v>
      </c>
      <c r="G5" s="51">
        <v>68.150000000000006</v>
      </c>
      <c r="H5" s="51"/>
      <c r="I5" s="51"/>
      <c r="J5" s="51"/>
      <c r="K5" s="51"/>
      <c r="L5" s="51"/>
      <c r="M5" s="51"/>
      <c r="N5" s="51"/>
      <c r="O5" s="51"/>
      <c r="P5" s="51"/>
    </row>
    <row r="6" spans="1:16" ht="17.100000000000001" customHeight="1" x14ac:dyDescent="0.2">
      <c r="A6" s="56" t="s">
        <v>596</v>
      </c>
      <c r="B6" s="51"/>
      <c r="C6" s="51"/>
      <c r="D6" s="51"/>
      <c r="E6" s="51"/>
      <c r="F6" s="51">
        <v>60.21</v>
      </c>
      <c r="G6" s="51">
        <f>132.06-G5</f>
        <v>63.91</v>
      </c>
      <c r="H6" s="51"/>
      <c r="I6" s="51"/>
      <c r="J6" s="51"/>
      <c r="K6" s="51"/>
      <c r="L6" s="51"/>
      <c r="M6" s="51"/>
      <c r="N6" s="51"/>
      <c r="O6" s="51"/>
      <c r="P6" s="51"/>
    </row>
    <row r="7" spans="1:16" ht="17.100000000000001" customHeight="1" x14ac:dyDescent="0.2">
      <c r="A7" s="56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</row>
    <row r="8" spans="1:16" s="96" customFormat="1" ht="17.100000000000001" customHeight="1" x14ac:dyDescent="0.2">
      <c r="A8" s="98" t="s">
        <v>304</v>
      </c>
      <c r="B8" s="106">
        <v>195.98</v>
      </c>
      <c r="C8" s="106">
        <v>331.63</v>
      </c>
      <c r="D8" s="106">
        <v>564.70000000000005</v>
      </c>
      <c r="E8" s="106">
        <v>610.49</v>
      </c>
      <c r="F8" s="106">
        <v>821.71</v>
      </c>
      <c r="G8" s="106">
        <v>299.32</v>
      </c>
      <c r="H8" s="106"/>
      <c r="I8" s="106"/>
      <c r="J8" s="106"/>
      <c r="K8" s="106"/>
      <c r="L8" s="106"/>
      <c r="M8" s="106"/>
      <c r="N8" s="106"/>
      <c r="O8" s="106"/>
      <c r="P8" s="106"/>
    </row>
    <row r="9" spans="1:16" ht="17.100000000000001" customHeight="1" x14ac:dyDescent="0.2">
      <c r="A9" s="56" t="s">
        <v>506</v>
      </c>
      <c r="B9" s="51">
        <v>12.3</v>
      </c>
      <c r="C9" s="51">
        <v>20.62</v>
      </c>
      <c r="D9" s="51">
        <v>30.18</v>
      </c>
      <c r="E9" s="51">
        <v>40.200000000000003</v>
      </c>
      <c r="F9" s="51">
        <v>52.2</v>
      </c>
      <c r="G9" s="51">
        <v>19.940000000000001</v>
      </c>
      <c r="H9" s="51"/>
      <c r="I9" s="51"/>
      <c r="J9" s="51"/>
      <c r="K9" s="51"/>
      <c r="L9" s="51"/>
      <c r="M9" s="51"/>
      <c r="N9" s="51"/>
      <c r="O9" s="51"/>
      <c r="P9" s="51"/>
    </row>
    <row r="10" spans="1:16" ht="17.100000000000001" customHeight="1" x14ac:dyDescent="0.2">
      <c r="A10" s="56" t="s">
        <v>507</v>
      </c>
      <c r="B10" s="54">
        <f t="shared" ref="B10:G10" si="0">B9/B8</f>
        <v>6.2761506276150639E-2</v>
      </c>
      <c r="C10" s="54">
        <f t="shared" si="0"/>
        <v>6.2177728191056304E-2</v>
      </c>
      <c r="D10" s="54">
        <f t="shared" si="0"/>
        <v>5.3444306711528243E-2</v>
      </c>
      <c r="E10" s="54">
        <f t="shared" si="0"/>
        <v>6.5848744451178567E-2</v>
      </c>
      <c r="F10" s="54">
        <f t="shared" si="0"/>
        <v>6.3526061505884066E-2</v>
      </c>
      <c r="G10" s="54">
        <f t="shared" si="0"/>
        <v>6.6617666711212081E-2</v>
      </c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7.100000000000001" customHeight="1" x14ac:dyDescent="0.2">
      <c r="A11" s="56" t="s">
        <v>561</v>
      </c>
      <c r="B11" s="54">
        <f t="shared" ref="B11:G11" si="1">B9/B2</f>
        <v>9.3181818181818185E-2</v>
      </c>
      <c r="C11" s="54">
        <f t="shared" si="1"/>
        <v>0.10767624020887728</v>
      </c>
      <c r="D11" s="54">
        <f t="shared" si="1"/>
        <v>0.13133159268929503</v>
      </c>
      <c r="E11" s="54">
        <f t="shared" si="1"/>
        <v>0.15031408914148969</v>
      </c>
      <c r="F11" s="54">
        <f t="shared" si="1"/>
        <v>0.17007135177402014</v>
      </c>
      <c r="G11" s="54">
        <f t="shared" si="1"/>
        <v>6.6265660828819253E-2</v>
      </c>
      <c r="H11" s="51"/>
      <c r="I11" s="51"/>
      <c r="J11" s="51"/>
      <c r="K11" s="51"/>
      <c r="L11" s="51"/>
      <c r="M11" s="51"/>
      <c r="N11" s="51"/>
      <c r="O11" s="51"/>
      <c r="P11" s="51"/>
    </row>
    <row r="12" spans="1:16" ht="17.100000000000001" customHeight="1" x14ac:dyDescent="0.2">
      <c r="A12" s="56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</row>
    <row r="13" spans="1:16" ht="17.100000000000001" customHeight="1" x14ac:dyDescent="0.2">
      <c r="A13" s="56" t="s">
        <v>181</v>
      </c>
      <c r="B13" s="107">
        <v>487.2</v>
      </c>
      <c r="C13" s="107">
        <v>915.3</v>
      </c>
      <c r="D13" s="51">
        <v>1628.56</v>
      </c>
      <c r="E13" s="51">
        <v>2110.31</v>
      </c>
      <c r="F13" s="51">
        <v>2180.11</v>
      </c>
      <c r="G13" s="51">
        <v>1013.14</v>
      </c>
      <c r="H13" s="51"/>
      <c r="I13" s="51"/>
      <c r="J13" s="51"/>
      <c r="K13" s="51"/>
      <c r="L13" s="51"/>
      <c r="M13" s="51"/>
      <c r="N13" s="51"/>
      <c r="O13" s="51"/>
      <c r="P13" s="51"/>
    </row>
    <row r="14" spans="1:16" ht="17.100000000000001" customHeight="1" x14ac:dyDescent="0.2">
      <c r="A14" s="56" t="s">
        <v>182</v>
      </c>
      <c r="B14" s="51"/>
      <c r="C14" s="51"/>
      <c r="D14" s="51">
        <v>1183.25</v>
      </c>
      <c r="E14" s="51">
        <v>1351.43</v>
      </c>
      <c r="F14" s="51">
        <v>1395.65</v>
      </c>
      <c r="G14" s="51">
        <v>648.79999999999995</v>
      </c>
      <c r="H14" s="51"/>
      <c r="I14" s="51"/>
      <c r="J14" s="51"/>
      <c r="K14" s="51"/>
      <c r="L14" s="51"/>
      <c r="M14" s="51"/>
      <c r="N14" s="51"/>
      <c r="O14" s="51"/>
      <c r="P14" s="51"/>
    </row>
    <row r="15" spans="1:16" ht="17.100000000000001" customHeight="1" x14ac:dyDescent="0.2">
      <c r="A15" s="56" t="s">
        <v>97</v>
      </c>
      <c r="B15" s="108">
        <v>353.1</v>
      </c>
      <c r="C15" s="108">
        <v>659.4</v>
      </c>
      <c r="D15" s="106">
        <f>D13/D16*10000</f>
        <v>1260.0077369439073</v>
      </c>
      <c r="E15" s="106">
        <f>E13/E16*10000</f>
        <v>1713.3311683039701</v>
      </c>
      <c r="F15" s="109">
        <v>1528.52</v>
      </c>
      <c r="G15" s="51">
        <v>627.63</v>
      </c>
      <c r="H15" s="51"/>
      <c r="I15" s="51"/>
      <c r="J15" s="51"/>
      <c r="K15" s="51"/>
      <c r="L15" s="51"/>
      <c r="M15" s="51"/>
      <c r="N15" s="51"/>
      <c r="O15" s="51"/>
      <c r="P15" s="51"/>
    </row>
    <row r="16" spans="1:16" ht="17.100000000000001" customHeight="1" x14ac:dyDescent="0.2">
      <c r="A16" s="56" t="s">
        <v>20</v>
      </c>
      <c r="B16" s="51"/>
      <c r="C16" s="51"/>
      <c r="D16" s="51">
        <v>12925</v>
      </c>
      <c r="E16" s="51">
        <v>12317</v>
      </c>
      <c r="F16" s="51">
        <v>14262</v>
      </c>
      <c r="G16" s="51">
        <v>16142.63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1:16" ht="17.100000000000001" customHeight="1" x14ac:dyDescent="0.2">
      <c r="A17" s="56" t="s">
        <v>591</v>
      </c>
      <c r="B17" s="51">
        <v>178.31</v>
      </c>
      <c r="C17" s="51">
        <v>401.51</v>
      </c>
      <c r="D17" s="51">
        <v>621.21</v>
      </c>
      <c r="E17" s="51">
        <v>801.06</v>
      </c>
      <c r="F17" s="51">
        <v>689.41</v>
      </c>
      <c r="G17" s="51">
        <v>826.37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1:16" ht="17.100000000000001" customHeight="1" x14ac:dyDescent="0.2">
      <c r="A18" s="56"/>
      <c r="B18" s="51"/>
      <c r="C18" s="51"/>
      <c r="D18" s="54"/>
      <c r="E18" s="54"/>
      <c r="F18" s="54"/>
      <c r="G18" s="51"/>
      <c r="H18" s="51"/>
      <c r="I18" s="51"/>
      <c r="J18" s="51"/>
      <c r="K18" s="51"/>
      <c r="L18" s="51"/>
      <c r="M18" s="51"/>
      <c r="N18" s="51"/>
      <c r="O18" s="51"/>
      <c r="P18" s="51"/>
    </row>
    <row r="19" spans="1:16" ht="17.100000000000001" customHeight="1" x14ac:dyDescent="0.2">
      <c r="A19" s="56" t="s">
        <v>188</v>
      </c>
      <c r="B19" s="110">
        <v>977.8</v>
      </c>
      <c r="C19" s="110">
        <v>2021.63</v>
      </c>
      <c r="D19" s="110">
        <v>1333</v>
      </c>
      <c r="E19" s="110">
        <v>1268</v>
      </c>
      <c r="F19" s="51">
        <v>1115</v>
      </c>
      <c r="G19" s="51">
        <f>213.24+215.94</f>
        <v>429.18</v>
      </c>
      <c r="H19" s="51"/>
      <c r="I19" s="51"/>
      <c r="J19" s="51"/>
      <c r="K19" s="51"/>
      <c r="L19" s="51"/>
      <c r="M19" s="51"/>
      <c r="N19" s="51"/>
      <c r="O19" s="51"/>
      <c r="P19" s="51"/>
    </row>
    <row r="20" spans="1:16" ht="17.100000000000001" customHeight="1" x14ac:dyDescent="0.2">
      <c r="A20" s="56" t="s">
        <v>186</v>
      </c>
      <c r="B20" s="51"/>
      <c r="C20" s="51"/>
      <c r="D20" s="51"/>
      <c r="E20" s="51">
        <v>937.1</v>
      </c>
      <c r="F20" s="51">
        <v>725.96</v>
      </c>
      <c r="G20" s="51"/>
      <c r="H20" s="51"/>
      <c r="I20" s="51"/>
      <c r="J20" s="51"/>
      <c r="K20" s="51"/>
      <c r="L20" s="51"/>
      <c r="M20" s="51"/>
      <c r="N20" s="51"/>
      <c r="O20" s="51"/>
      <c r="P20" s="51"/>
    </row>
    <row r="21" spans="1:16" ht="17.100000000000001" customHeight="1" x14ac:dyDescent="0.2">
      <c r="A21" s="56" t="s">
        <v>189</v>
      </c>
      <c r="B21" s="51"/>
      <c r="C21" s="51"/>
      <c r="D21" s="51">
        <v>306</v>
      </c>
      <c r="E21" s="51">
        <v>492</v>
      </c>
      <c r="F21" s="51">
        <v>401.96</v>
      </c>
      <c r="G21" s="51">
        <v>123.72</v>
      </c>
      <c r="H21" s="51"/>
      <c r="I21" s="51"/>
      <c r="J21" s="51"/>
      <c r="K21" s="51"/>
      <c r="L21" s="51"/>
      <c r="M21" s="51"/>
      <c r="N21" s="51"/>
      <c r="O21" s="51"/>
      <c r="P21" s="51"/>
    </row>
    <row r="22" spans="1:16" ht="17.100000000000001" customHeight="1" x14ac:dyDescent="0.2">
      <c r="A22" s="56" t="s">
        <v>559</v>
      </c>
      <c r="B22" s="51"/>
      <c r="C22" s="51"/>
      <c r="D22" s="51"/>
      <c r="E22" s="51">
        <v>5168</v>
      </c>
      <c r="F22" s="51">
        <v>6347</v>
      </c>
      <c r="G22" s="51">
        <v>4813.0200000000004</v>
      </c>
      <c r="H22" s="51"/>
      <c r="I22" s="51"/>
      <c r="J22" s="51"/>
      <c r="K22" s="51"/>
      <c r="L22" s="51"/>
      <c r="M22" s="51"/>
      <c r="N22" s="51"/>
      <c r="O22" s="51"/>
      <c r="P22" s="51"/>
    </row>
    <row r="23" spans="1:16" ht="17.100000000000001" customHeight="1" x14ac:dyDescent="0.2">
      <c r="A23" s="56" t="s">
        <v>187</v>
      </c>
      <c r="B23" s="51"/>
      <c r="C23" s="51">
        <v>3796</v>
      </c>
      <c r="D23" s="51">
        <v>4418</v>
      </c>
      <c r="E23" s="51">
        <v>4101.2</v>
      </c>
      <c r="F23" s="51">
        <v>4251.97</v>
      </c>
      <c r="G23" s="51">
        <v>4371.32</v>
      </c>
      <c r="H23" s="51"/>
      <c r="I23" s="51"/>
      <c r="J23" s="51"/>
      <c r="K23" s="51"/>
      <c r="L23" s="51"/>
      <c r="M23" s="51"/>
      <c r="N23" s="51"/>
      <c r="O23" s="51"/>
      <c r="P23" s="51"/>
    </row>
    <row r="24" spans="1:16" ht="17.100000000000001" customHeight="1" x14ac:dyDescent="0.2">
      <c r="A24" s="56" t="s">
        <v>558</v>
      </c>
      <c r="B24" s="51"/>
      <c r="C24" s="51"/>
      <c r="D24" s="51">
        <v>4339</v>
      </c>
      <c r="E24" s="51">
        <v>4355.78</v>
      </c>
      <c r="F24" s="51">
        <v>4366.1899999999996</v>
      </c>
      <c r="G24" s="51">
        <v>4118.63</v>
      </c>
      <c r="H24" s="51"/>
      <c r="I24" s="51"/>
      <c r="J24" s="51"/>
      <c r="K24" s="51"/>
      <c r="L24" s="51"/>
      <c r="M24" s="51"/>
      <c r="N24" s="51"/>
      <c r="O24" s="51"/>
      <c r="P24" s="51"/>
    </row>
    <row r="25" spans="1:16" ht="17.100000000000001" hidden="1" customHeight="1" x14ac:dyDescent="0.2">
      <c r="A25" s="56" t="s">
        <v>191</v>
      </c>
      <c r="B25" s="51"/>
      <c r="C25" s="51">
        <v>4911</v>
      </c>
      <c r="D25" s="51"/>
      <c r="E25" s="51"/>
      <c r="F25" s="51">
        <v>5627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</row>
    <row r="26" spans="1:16" ht="17.100000000000001" customHeight="1" x14ac:dyDescent="0.2">
      <c r="A26" s="56" t="s">
        <v>190</v>
      </c>
      <c r="B26" s="54">
        <v>0.23100000000000001</v>
      </c>
      <c r="C26" s="54">
        <v>0.2457</v>
      </c>
      <c r="D26" s="54">
        <v>0.25650000000000001</v>
      </c>
      <c r="E26" s="54">
        <v>0.25530000000000003</v>
      </c>
      <c r="F26" s="54">
        <v>0.1888</v>
      </c>
      <c r="G26" s="54">
        <v>0.1671</v>
      </c>
      <c r="H26" s="51"/>
      <c r="I26" s="51"/>
      <c r="J26" s="51"/>
      <c r="K26" s="51"/>
      <c r="L26" s="51"/>
      <c r="M26" s="51"/>
      <c r="N26" s="51"/>
      <c r="O26" s="51"/>
      <c r="P26" s="51"/>
    </row>
    <row r="27" spans="1:16" ht="17.100000000000001" customHeight="1" x14ac:dyDescent="0.2">
      <c r="A27" s="56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</row>
    <row r="28" spans="1:16" ht="17.100000000000001" customHeight="1" x14ac:dyDescent="0.2">
      <c r="A28" s="56" t="s">
        <v>183</v>
      </c>
      <c r="B28" s="51">
        <v>693.76</v>
      </c>
      <c r="C28" s="51">
        <v>1134.8900000000001</v>
      </c>
      <c r="D28" s="51">
        <v>1126.1300000000001</v>
      </c>
      <c r="E28" s="51">
        <v>1123.21</v>
      </c>
      <c r="F28" s="51">
        <v>1060.3900000000001</v>
      </c>
      <c r="G28" s="51">
        <v>953.23</v>
      </c>
      <c r="H28" s="51"/>
      <c r="I28" s="51"/>
      <c r="J28" s="51"/>
      <c r="K28" s="51"/>
      <c r="L28" s="51"/>
      <c r="M28" s="51"/>
      <c r="N28" s="51"/>
      <c r="O28" s="51"/>
      <c r="P28" s="51"/>
    </row>
    <row r="29" spans="1:16" ht="17.100000000000001" customHeight="1" x14ac:dyDescent="0.2">
      <c r="A29" s="56" t="s">
        <v>184</v>
      </c>
      <c r="B29" s="51">
        <v>184</v>
      </c>
      <c r="C29" s="51">
        <v>485</v>
      </c>
      <c r="D29" s="51">
        <v>479</v>
      </c>
      <c r="E29" s="51">
        <v>335.49</v>
      </c>
      <c r="F29" s="51">
        <v>325.24</v>
      </c>
      <c r="G29" s="51">
        <v>263.83</v>
      </c>
      <c r="H29" s="51"/>
      <c r="I29" s="51"/>
      <c r="J29" s="51"/>
      <c r="K29" s="51"/>
      <c r="L29" s="51"/>
      <c r="M29" s="51"/>
      <c r="N29" s="51"/>
      <c r="O29" s="51"/>
      <c r="P29" s="51"/>
    </row>
    <row r="30" spans="1:16" ht="17.100000000000001" customHeight="1" x14ac:dyDescent="0.2">
      <c r="A30" s="56" t="s">
        <v>185</v>
      </c>
      <c r="B30" s="54">
        <v>8.4199999999999997E-2</v>
      </c>
      <c r="C30" s="54">
        <v>7.0800000000000002E-2</v>
      </c>
      <c r="D30" s="54">
        <v>7.9399999999999998E-2</v>
      </c>
      <c r="E30" s="54">
        <v>7.7100000000000002E-2</v>
      </c>
      <c r="F30" s="54">
        <v>7.4200000000000002E-2</v>
      </c>
      <c r="G30" s="54">
        <v>7.4800000000000005E-2</v>
      </c>
      <c r="H30" s="51"/>
      <c r="I30" s="51"/>
      <c r="J30" s="51"/>
      <c r="K30" s="51"/>
      <c r="L30" s="51"/>
      <c r="M30" s="51"/>
      <c r="N30" s="51"/>
      <c r="O30" s="51"/>
      <c r="P30" s="51"/>
    </row>
    <row r="31" spans="1:16" ht="17.100000000000001" hidden="1" customHeight="1" x14ac:dyDescent="0.2">
      <c r="A31" s="56" t="s">
        <v>402</v>
      </c>
      <c r="B31" s="51">
        <v>36.630000000000003</v>
      </c>
      <c r="C31" s="51">
        <v>66.319999999999993</v>
      </c>
      <c r="D31" s="51">
        <v>86.92</v>
      </c>
      <c r="E31" s="51">
        <v>90.38</v>
      </c>
      <c r="F31" s="51">
        <v>100.05</v>
      </c>
      <c r="G31" s="51"/>
      <c r="H31" s="51"/>
      <c r="I31" s="51"/>
      <c r="J31" s="51"/>
      <c r="K31" s="51"/>
      <c r="L31" s="51"/>
      <c r="M31" s="51"/>
      <c r="N31" s="51"/>
      <c r="O31" s="51"/>
      <c r="P31" s="51"/>
    </row>
    <row r="32" spans="1:16" ht="17.100000000000001" hidden="1" customHeight="1" x14ac:dyDescent="0.2">
      <c r="A32" s="56" t="s">
        <v>403</v>
      </c>
      <c r="B32" s="110">
        <f t="shared" ref="B32:E32" si="2">B31-B35</f>
        <v>-1.9600000000000009</v>
      </c>
      <c r="C32" s="110">
        <f t="shared" si="2"/>
        <v>5.9999999999988063E-2</v>
      </c>
      <c r="D32" s="110">
        <f t="shared" si="2"/>
        <v>5.3200000000000074</v>
      </c>
      <c r="E32" s="110">
        <f t="shared" si="2"/>
        <v>14.47999999999999</v>
      </c>
      <c r="F32" s="110">
        <f>F31-F38</f>
        <v>22.759999999999977</v>
      </c>
      <c r="G32" s="51"/>
      <c r="H32" s="51"/>
      <c r="I32" s="51"/>
      <c r="J32" s="51"/>
      <c r="K32" s="51"/>
      <c r="L32" s="51"/>
      <c r="M32" s="51"/>
      <c r="N32" s="51"/>
      <c r="O32" s="51"/>
      <c r="P32" s="51"/>
    </row>
    <row r="33" spans="1:16" ht="17.100000000000001" hidden="1" customHeight="1" x14ac:dyDescent="0.2">
      <c r="A33" s="56" t="s">
        <v>408</v>
      </c>
      <c r="B33" s="110"/>
      <c r="C33" s="110">
        <v>3.92</v>
      </c>
      <c r="D33" s="110">
        <v>6.73</v>
      </c>
      <c r="E33" s="110">
        <v>9.98</v>
      </c>
      <c r="F33" s="110">
        <v>9.4</v>
      </c>
      <c r="G33" s="51"/>
      <c r="H33" s="51"/>
      <c r="I33" s="51"/>
      <c r="J33" s="51"/>
      <c r="K33" s="51"/>
      <c r="L33" s="51"/>
      <c r="M33" s="51"/>
      <c r="N33" s="51"/>
      <c r="O33" s="51"/>
      <c r="P33" s="51"/>
    </row>
    <row r="34" spans="1:16" ht="17.100000000000001" hidden="1" customHeight="1" x14ac:dyDescent="0.2">
      <c r="A34" s="56" t="s">
        <v>409</v>
      </c>
      <c r="B34" s="110"/>
      <c r="C34" s="110"/>
      <c r="D34" s="110">
        <v>3.3</v>
      </c>
      <c r="E34" s="110">
        <v>3.65</v>
      </c>
      <c r="F34" s="110">
        <v>3.46</v>
      </c>
      <c r="G34" s="51"/>
      <c r="H34" s="51"/>
      <c r="I34" s="51"/>
      <c r="J34" s="51"/>
      <c r="K34" s="51"/>
      <c r="L34" s="51"/>
      <c r="M34" s="51"/>
      <c r="N34" s="51"/>
      <c r="O34" s="51"/>
      <c r="P34" s="51"/>
    </row>
    <row r="35" spans="1:16" ht="17.100000000000001" customHeight="1" x14ac:dyDescent="0.2">
      <c r="A35" s="56" t="s">
        <v>39</v>
      </c>
      <c r="B35" s="110">
        <v>38.590000000000003</v>
      </c>
      <c r="C35" s="110">
        <v>66.260000000000005</v>
      </c>
      <c r="D35" s="110">
        <v>81.599999999999994</v>
      </c>
      <c r="E35" s="110">
        <v>75.900000000000006</v>
      </c>
      <c r="F35" s="51">
        <v>70.849999999999994</v>
      </c>
      <c r="G35" s="51">
        <v>33.04</v>
      </c>
      <c r="H35" s="51"/>
      <c r="I35" s="51"/>
      <c r="J35" s="51"/>
      <c r="K35" s="51"/>
      <c r="L35" s="51"/>
      <c r="M35" s="51"/>
      <c r="N35" s="51"/>
      <c r="O35" s="51"/>
      <c r="P35" s="51"/>
    </row>
    <row r="36" spans="1:16" ht="17.100000000000001" hidden="1" customHeight="1" x14ac:dyDescent="0.2">
      <c r="A36" s="56" t="s">
        <v>204</v>
      </c>
      <c r="B36" s="51">
        <v>69.12</v>
      </c>
      <c r="C36" s="51">
        <v>131.99</v>
      </c>
      <c r="D36" s="51">
        <v>173.57</v>
      </c>
      <c r="E36" s="51">
        <v>217.89</v>
      </c>
      <c r="F36" s="51">
        <v>211.45</v>
      </c>
      <c r="G36" s="51"/>
      <c r="H36" s="51"/>
      <c r="I36" s="51"/>
      <c r="J36" s="51"/>
      <c r="K36" s="51"/>
      <c r="L36" s="51"/>
      <c r="M36" s="51"/>
      <c r="N36" s="51"/>
      <c r="O36" s="51"/>
      <c r="P36" s="51"/>
    </row>
    <row r="37" spans="1:16" ht="17.100000000000001" hidden="1" customHeight="1" x14ac:dyDescent="0.2">
      <c r="A37" s="56" t="s">
        <v>397</v>
      </c>
      <c r="B37" s="51"/>
      <c r="C37" s="110">
        <f>B36+C35</f>
        <v>135.38</v>
      </c>
      <c r="D37" s="110">
        <f>C36+D35</f>
        <v>213.59</v>
      </c>
      <c r="E37" s="110">
        <f>D36+E35</f>
        <v>249.47</v>
      </c>
      <c r="F37" s="110">
        <f>E36+F35</f>
        <v>288.74</v>
      </c>
      <c r="G37" s="51"/>
      <c r="H37" s="51"/>
      <c r="I37" s="51"/>
      <c r="J37" s="51"/>
      <c r="K37" s="51"/>
      <c r="L37" s="51"/>
      <c r="M37" s="51"/>
      <c r="N37" s="51"/>
      <c r="O37" s="51"/>
      <c r="P37" s="51"/>
    </row>
    <row r="38" spans="1:16" ht="17.100000000000001" hidden="1" customHeight="1" x14ac:dyDescent="0.2">
      <c r="A38" s="56" t="s">
        <v>404</v>
      </c>
      <c r="B38" s="51"/>
      <c r="C38" s="110">
        <f>C37-C36</f>
        <v>3.3899999999999864</v>
      </c>
      <c r="D38" s="110">
        <f>D37-D36</f>
        <v>40.02000000000001</v>
      </c>
      <c r="E38" s="110">
        <f>E37-E36</f>
        <v>31.580000000000013</v>
      </c>
      <c r="F38" s="110">
        <f>F37-F36</f>
        <v>77.29000000000002</v>
      </c>
      <c r="G38" s="51"/>
      <c r="H38" s="51"/>
      <c r="I38" s="51"/>
      <c r="J38" s="51"/>
      <c r="K38" s="51"/>
      <c r="L38" s="51"/>
      <c r="M38" s="51"/>
      <c r="N38" s="51"/>
      <c r="O38" s="51"/>
      <c r="P38" s="51"/>
    </row>
    <row r="39" spans="1:16" ht="17.100000000000001" customHeight="1" x14ac:dyDescent="0.2">
      <c r="A39" s="56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</row>
    <row r="40" spans="1:16" ht="17.100000000000001" customHeight="1" x14ac:dyDescent="0.2">
      <c r="A40" s="56" t="s">
        <v>58</v>
      </c>
      <c r="B40" s="51">
        <v>4.83</v>
      </c>
      <c r="C40" s="51">
        <v>9.6</v>
      </c>
      <c r="D40" s="51">
        <v>17.57</v>
      </c>
      <c r="E40" s="51">
        <v>25.69</v>
      </c>
      <c r="F40" s="51">
        <v>24.02</v>
      </c>
      <c r="G40" s="51">
        <v>11.53</v>
      </c>
      <c r="H40" s="51"/>
      <c r="I40" s="51"/>
      <c r="J40" s="51"/>
      <c r="K40" s="51"/>
      <c r="L40" s="51"/>
      <c r="M40" s="51"/>
      <c r="N40" s="51"/>
      <c r="O40" s="51"/>
      <c r="P40" s="51"/>
    </row>
    <row r="41" spans="1:16" ht="17.100000000000001" customHeight="1" x14ac:dyDescent="0.2">
      <c r="A41" s="56" t="s">
        <v>59</v>
      </c>
      <c r="B41" s="51">
        <v>6.78</v>
      </c>
      <c r="C41" s="51">
        <v>11.76</v>
      </c>
      <c r="D41" s="51">
        <v>15.77</v>
      </c>
      <c r="E41" s="51">
        <v>21.88</v>
      </c>
      <c r="F41" s="51">
        <v>19.78</v>
      </c>
      <c r="G41" s="51">
        <v>9.8800000000000008</v>
      </c>
      <c r="H41" s="51"/>
      <c r="I41" s="51"/>
      <c r="J41" s="51"/>
      <c r="K41" s="51"/>
      <c r="L41" s="51"/>
      <c r="M41" s="51"/>
      <c r="N41" s="51"/>
      <c r="O41" s="51"/>
      <c r="P41" s="51"/>
    </row>
    <row r="42" spans="1:16" ht="16.5" x14ac:dyDescent="0.2">
      <c r="A42" s="56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</row>
    <row r="43" spans="1:16" s="96" customFormat="1" ht="17.100000000000001" customHeight="1" x14ac:dyDescent="0.2">
      <c r="A43" s="98" t="s">
        <v>595</v>
      </c>
      <c r="B43" s="106">
        <f t="shared" ref="B43:G43" si="3">B4/B29</f>
        <v>1.0265760869565217</v>
      </c>
      <c r="C43" s="106">
        <f t="shared" si="3"/>
        <v>0.74997938144329901</v>
      </c>
      <c r="D43" s="106">
        <f t="shared" si="3"/>
        <v>0.79014613778705645</v>
      </c>
      <c r="E43" s="106">
        <f t="shared" si="3"/>
        <v>1.2512444484187306</v>
      </c>
      <c r="F43" s="106">
        <f t="shared" si="3"/>
        <v>1.5313307096298119</v>
      </c>
      <c r="G43" s="106">
        <f t="shared" si="3"/>
        <v>1.5302657013986281</v>
      </c>
      <c r="H43" s="106"/>
      <c r="I43" s="106"/>
      <c r="J43" s="106"/>
      <c r="K43" s="106"/>
      <c r="L43" s="106"/>
      <c r="M43" s="106"/>
      <c r="N43" s="106"/>
      <c r="O43" s="106"/>
      <c r="P43" s="106"/>
    </row>
    <row r="44" spans="1:16" ht="17.100000000000001" customHeight="1" x14ac:dyDescent="0.2">
      <c r="A44" s="56" t="s">
        <v>597</v>
      </c>
      <c r="B44" s="51"/>
      <c r="C44" s="51"/>
      <c r="D44" s="54">
        <v>1.8222</v>
      </c>
      <c r="E44" s="54">
        <v>1.3819999999999999</v>
      </c>
      <c r="F44" s="54">
        <v>0.94899999999999995</v>
      </c>
      <c r="G44" s="54">
        <v>0.93840000000000001</v>
      </c>
      <c r="H44" s="51"/>
      <c r="I44" s="51"/>
      <c r="J44" s="51"/>
      <c r="K44" s="51"/>
      <c r="L44" s="51"/>
      <c r="M44" s="51"/>
      <c r="N44" s="51"/>
      <c r="O44" s="51"/>
      <c r="P44" s="51"/>
    </row>
    <row r="45" spans="1:16" ht="17.100000000000001" customHeight="1" x14ac:dyDescent="0.2">
      <c r="A45" s="56" t="s">
        <v>598</v>
      </c>
      <c r="B45" s="51"/>
      <c r="C45" s="51"/>
      <c r="D45" s="51"/>
      <c r="E45" s="51"/>
      <c r="F45" s="51"/>
      <c r="G45" s="54">
        <v>0.78800000000000003</v>
      </c>
      <c r="H45" s="51"/>
      <c r="I45" s="51"/>
      <c r="J45" s="51"/>
      <c r="K45" s="51"/>
      <c r="L45" s="51"/>
      <c r="M45" s="51"/>
      <c r="N45" s="51"/>
      <c r="O45" s="51"/>
      <c r="P45" s="51"/>
    </row>
    <row r="46" spans="1:16" ht="16.5" x14ac:dyDescent="0.2">
      <c r="A46" s="56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</row>
    <row r="47" spans="1:16" ht="16.5" x14ac:dyDescent="0.2">
      <c r="A47" s="56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</row>
    <row r="48" spans="1:16" ht="16.5" x14ac:dyDescent="0.2">
      <c r="A48" s="56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</row>
    <row r="49" spans="2:16" ht="15" x14ac:dyDescent="0.2"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</row>
    <row r="50" spans="2:16" ht="15" x14ac:dyDescent="0.2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</row>
    <row r="51" spans="2:16" ht="15" x14ac:dyDescent="0.2"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</row>
    <row r="52" spans="2:16" ht="15" x14ac:dyDescent="0.2"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</row>
    <row r="53" spans="2:16" ht="15" x14ac:dyDescent="0.2"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</row>
    <row r="54" spans="2:16" ht="15" x14ac:dyDescent="0.2"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</row>
  </sheetData>
  <phoneticPr fontId="1" type="noConversion"/>
  <conditionalFormatting sqref="H15:XFD15">
    <cfRule type="colorScale" priority="4">
      <colorScale>
        <cfvo type="min"/>
        <cfvo type="max"/>
        <color rgb="FFFFEF9C"/>
        <color rgb="FF63BE7B"/>
      </colorScale>
    </cfRule>
  </conditionalFormatting>
  <conditionalFormatting sqref="H19:XFD19">
    <cfRule type="colorScale" priority="14">
      <colorScale>
        <cfvo type="min"/>
        <cfvo type="max"/>
        <color rgb="FFFFEF9C"/>
        <color rgb="FF63BE7B"/>
      </colorScale>
    </cfRule>
  </conditionalFormatting>
  <conditionalFormatting sqref="A10:XFD11">
    <cfRule type="colorScale" priority="3">
      <colorScale>
        <cfvo type="min"/>
        <cfvo type="max"/>
        <color rgb="FFFFEF9C"/>
        <color rgb="FF63BE7B"/>
      </colorScale>
    </cfRule>
  </conditionalFormatting>
  <conditionalFormatting sqref="A26:XFD26">
    <cfRule type="colorScale" priority="2">
      <colorScale>
        <cfvo type="min"/>
        <cfvo type="max"/>
        <color rgb="FFFFEF9C"/>
        <color rgb="FF63BE7B"/>
      </colorScale>
    </cfRule>
  </conditionalFormatting>
  <conditionalFormatting sqref="A15:XFD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5B70-0D9D-448E-916B-B2FFD85CA00D}">
  <dimension ref="A1:F52"/>
  <sheetViews>
    <sheetView workbookViewId="0">
      <selection activeCell="C4" sqref="C4:F4"/>
    </sheetView>
  </sheetViews>
  <sheetFormatPr defaultRowHeight="14.25" x14ac:dyDescent="0.2"/>
  <cols>
    <col min="1" max="1" width="27.25" style="162" customWidth="1"/>
    <col min="2" max="2" width="9" style="35" customWidth="1"/>
    <col min="3" max="3" width="9.25" style="35" customWidth="1"/>
    <col min="4" max="4" width="8.75" style="35" customWidth="1"/>
    <col min="5" max="5" width="9" style="35" customWidth="1"/>
    <col min="6" max="16384" width="9" style="35"/>
  </cols>
  <sheetData>
    <row r="1" spans="1:6" s="155" customFormat="1" x14ac:dyDescent="0.2">
      <c r="A1" s="203" t="s">
        <v>94</v>
      </c>
      <c r="B1" s="155" t="s">
        <v>4</v>
      </c>
      <c r="C1" s="155" t="s">
        <v>3</v>
      </c>
      <c r="D1" s="155" t="s">
        <v>2</v>
      </c>
      <c r="E1" s="155" t="s">
        <v>1</v>
      </c>
      <c r="F1" s="204" t="s">
        <v>604</v>
      </c>
    </row>
    <row r="2" spans="1:6" x14ac:dyDescent="0.2">
      <c r="A2" s="162" t="s">
        <v>112</v>
      </c>
      <c r="B2" s="35">
        <v>206.24</v>
      </c>
      <c r="C2" s="35">
        <v>304.93</v>
      </c>
      <c r="D2" s="35">
        <v>384.27</v>
      </c>
      <c r="E2" s="35">
        <v>505.91</v>
      </c>
      <c r="F2" s="35">
        <v>511.22</v>
      </c>
    </row>
    <row r="3" spans="1:6" x14ac:dyDescent="0.2">
      <c r="A3" s="162" t="s">
        <v>600</v>
      </c>
      <c r="B3" s="35">
        <v>53.58</v>
      </c>
      <c r="C3" s="35">
        <v>204.64</v>
      </c>
      <c r="D3" s="35">
        <v>235.08</v>
      </c>
      <c r="E3" s="35">
        <v>315.48</v>
      </c>
      <c r="F3" s="35">
        <v>367.08</v>
      </c>
    </row>
    <row r="4" spans="1:6" x14ac:dyDescent="0.2">
      <c r="A4" s="162" t="s">
        <v>602</v>
      </c>
      <c r="B4" s="35">
        <v>219.47</v>
      </c>
      <c r="C4" s="35">
        <v>454.09</v>
      </c>
      <c r="D4" s="35">
        <v>639.41</v>
      </c>
      <c r="E4" s="35">
        <v>624.24</v>
      </c>
      <c r="F4" s="35">
        <v>551.54</v>
      </c>
    </row>
    <row r="5" spans="1:6" x14ac:dyDescent="0.2">
      <c r="A5" s="162" t="s">
        <v>603</v>
      </c>
      <c r="B5" s="35">
        <v>16.66</v>
      </c>
      <c r="C5" s="35">
        <v>54</v>
      </c>
      <c r="D5" s="35">
        <v>48.6</v>
      </c>
      <c r="E5" s="35">
        <v>43.79</v>
      </c>
      <c r="F5" s="35">
        <v>39.56</v>
      </c>
    </row>
    <row r="6" spans="1:6" x14ac:dyDescent="0.2">
      <c r="A6" s="162" t="s">
        <v>605</v>
      </c>
      <c r="C6" s="35">
        <v>6.14</v>
      </c>
      <c r="D6" s="35">
        <v>22.03</v>
      </c>
      <c r="E6" s="35">
        <v>135.25</v>
      </c>
      <c r="F6" s="35">
        <v>124.19</v>
      </c>
    </row>
    <row r="7" spans="1:6" s="213" customFormat="1" x14ac:dyDescent="0.2">
      <c r="A7" s="211" t="s">
        <v>608</v>
      </c>
      <c r="B7" s="213">
        <v>603.66999999999996</v>
      </c>
      <c r="C7" s="213">
        <v>1070.77</v>
      </c>
      <c r="D7" s="213">
        <v>1702.52</v>
      </c>
      <c r="E7" s="213">
        <v>1568.6</v>
      </c>
      <c r="F7" s="213">
        <v>728.78</v>
      </c>
    </row>
    <row r="9" spans="1:6" x14ac:dyDescent="0.2">
      <c r="A9" s="162" t="s">
        <v>609</v>
      </c>
      <c r="B9" s="35">
        <v>405.26</v>
      </c>
      <c r="C9" s="35">
        <v>541.33000000000004</v>
      </c>
      <c r="D9" s="35">
        <v>858.47</v>
      </c>
      <c r="E9" s="35">
        <v>1454.75</v>
      </c>
      <c r="F9" s="210">
        <v>791.05</v>
      </c>
    </row>
    <row r="10" spans="1:6" x14ac:dyDescent="0.2">
      <c r="A10" s="162" t="s">
        <v>611</v>
      </c>
      <c r="B10" s="35">
        <v>60.29</v>
      </c>
      <c r="C10" s="35">
        <v>104.91</v>
      </c>
      <c r="D10" s="35">
        <v>126.54</v>
      </c>
      <c r="E10" s="35">
        <v>152.56</v>
      </c>
      <c r="F10" s="210">
        <v>43.06</v>
      </c>
    </row>
    <row r="11" spans="1:6" s="216" customFormat="1" x14ac:dyDescent="0.2">
      <c r="A11" s="215" t="s">
        <v>610</v>
      </c>
      <c r="B11" s="216">
        <f>B10/B9</f>
        <v>0.14876869170409121</v>
      </c>
      <c r="C11" s="216">
        <f t="shared" ref="C11:F11" si="0">C10/C9</f>
        <v>0.19380045443629576</v>
      </c>
      <c r="D11" s="216">
        <f t="shared" si="0"/>
        <v>0.14740177292159307</v>
      </c>
      <c r="E11" s="216">
        <f t="shared" si="0"/>
        <v>0.10487025262072522</v>
      </c>
      <c r="F11" s="216">
        <f t="shared" si="0"/>
        <v>5.4433980152961262E-2</v>
      </c>
    </row>
    <row r="12" spans="1:6" x14ac:dyDescent="0.2">
      <c r="A12" s="162" t="s">
        <v>115</v>
      </c>
      <c r="B12" s="156">
        <v>0.35170000000000001</v>
      </c>
      <c r="C12" s="156">
        <v>0.34289999999999998</v>
      </c>
      <c r="D12" s="156">
        <v>0.25600000000000001</v>
      </c>
      <c r="E12" s="156">
        <v>0.14910000000000001</v>
      </c>
      <c r="F12" s="264">
        <v>0.1711</v>
      </c>
    </row>
    <row r="13" spans="1:6" x14ac:dyDescent="0.2">
      <c r="A13" s="162" t="s">
        <v>116</v>
      </c>
      <c r="B13" s="156">
        <v>0.34420000000000001</v>
      </c>
      <c r="C13" s="156">
        <v>0.37109999999999999</v>
      </c>
      <c r="D13" s="156">
        <v>0.36959999999999998</v>
      </c>
      <c r="E13" s="156">
        <v>0.31580000000000003</v>
      </c>
      <c r="F13" s="265"/>
    </row>
    <row r="14" spans="1:6" x14ac:dyDescent="0.2">
      <c r="A14" s="162" t="s">
        <v>117</v>
      </c>
      <c r="B14" s="156">
        <v>0.69499999999999995</v>
      </c>
      <c r="C14" s="156">
        <v>0.67759999999999998</v>
      </c>
      <c r="D14" s="156">
        <v>0.67559999999999998</v>
      </c>
      <c r="E14" s="156">
        <v>0.70760000000000001</v>
      </c>
      <c r="F14" s="156">
        <v>0.70579999999999998</v>
      </c>
    </row>
    <row r="15" spans="1:6" x14ac:dyDescent="0.2">
      <c r="B15" s="156"/>
      <c r="C15" s="156"/>
      <c r="D15" s="156"/>
      <c r="E15" s="156"/>
    </row>
    <row r="16" spans="1:6" s="213" customFormat="1" x14ac:dyDescent="0.2">
      <c r="A16" s="211" t="s">
        <v>606</v>
      </c>
      <c r="B16" s="212">
        <v>383.84</v>
      </c>
      <c r="C16" s="212">
        <v>643.73</v>
      </c>
      <c r="D16" s="213">
        <v>678.83</v>
      </c>
      <c r="E16" s="214">
        <v>924.95</v>
      </c>
      <c r="F16" s="213">
        <v>1063.54</v>
      </c>
    </row>
    <row r="17" spans="1:6" x14ac:dyDescent="0.2">
      <c r="A17" s="162" t="s">
        <v>607</v>
      </c>
      <c r="B17" s="157">
        <v>129.46</v>
      </c>
      <c r="C17" s="157">
        <v>130.19</v>
      </c>
      <c r="D17" s="35">
        <v>244.1</v>
      </c>
      <c r="E17" s="159">
        <v>207.32</v>
      </c>
      <c r="F17" s="35">
        <v>253.41</v>
      </c>
    </row>
    <row r="18" spans="1:6" x14ac:dyDescent="0.2">
      <c r="A18" s="162" t="s">
        <v>120</v>
      </c>
      <c r="B18" s="35">
        <v>21.6</v>
      </c>
      <c r="C18" s="157">
        <v>39.96</v>
      </c>
      <c r="D18" s="35">
        <v>55.95</v>
      </c>
      <c r="E18" s="159">
        <v>62.18</v>
      </c>
      <c r="F18" s="35">
        <v>33.950000000000003</v>
      </c>
    </row>
    <row r="19" spans="1:6" x14ac:dyDescent="0.2">
      <c r="A19" s="162" t="s">
        <v>121</v>
      </c>
      <c r="C19" s="157">
        <v>53.6</v>
      </c>
      <c r="D19" s="35">
        <v>90.71</v>
      </c>
      <c r="E19" s="159">
        <v>59.87</v>
      </c>
      <c r="F19" s="35">
        <v>32.479999999999997</v>
      </c>
    </row>
    <row r="20" spans="1:6" x14ac:dyDescent="0.2">
      <c r="A20" s="162" t="s">
        <v>39</v>
      </c>
      <c r="B20" s="35">
        <v>16.73</v>
      </c>
      <c r="C20" s="157">
        <v>88.5</v>
      </c>
      <c r="D20" s="35">
        <v>135.94999999999999</v>
      </c>
      <c r="E20" s="159">
        <v>109.67</v>
      </c>
      <c r="F20" s="35">
        <v>56.58</v>
      </c>
    </row>
    <row r="21" spans="1:6" x14ac:dyDescent="0.2">
      <c r="A21" s="162" t="s">
        <v>16</v>
      </c>
      <c r="B21" s="156">
        <v>5.3199999999999997E-2</v>
      </c>
      <c r="C21" s="156">
        <v>6.4699999999999994E-2</v>
      </c>
      <c r="D21" s="156">
        <v>6.7299999999999999E-2</v>
      </c>
      <c r="E21" s="156">
        <v>6.7199999999999996E-2</v>
      </c>
      <c r="F21" s="156">
        <v>6.6000000000000003E-2</v>
      </c>
    </row>
    <row r="22" spans="1:6" x14ac:dyDescent="0.2">
      <c r="B22" s="156"/>
      <c r="C22" s="156"/>
      <c r="D22" s="156"/>
      <c r="E22" s="156"/>
    </row>
    <row r="23" spans="1:6" x14ac:dyDescent="0.2">
      <c r="A23" s="162" t="s">
        <v>122</v>
      </c>
      <c r="D23" s="200">
        <v>105</v>
      </c>
      <c r="E23" s="200">
        <v>123</v>
      </c>
    </row>
    <row r="24" spans="1:6" x14ac:dyDescent="0.2">
      <c r="A24" s="162" t="s">
        <v>95</v>
      </c>
      <c r="D24" s="35">
        <v>12400</v>
      </c>
      <c r="E24" s="35">
        <v>14300</v>
      </c>
      <c r="F24" s="35">
        <v>15000</v>
      </c>
    </row>
    <row r="26" spans="1:6" s="206" customFormat="1" x14ac:dyDescent="0.2">
      <c r="A26" s="205" t="s">
        <v>111</v>
      </c>
    </row>
    <row r="27" spans="1:6" x14ac:dyDescent="0.2">
      <c r="A27" s="162" t="s">
        <v>96</v>
      </c>
      <c r="B27" s="35">
        <v>1264.72</v>
      </c>
      <c r="C27" s="35">
        <v>2210.98</v>
      </c>
      <c r="D27" s="35">
        <v>2708.01</v>
      </c>
      <c r="E27" s="35">
        <v>2509.63</v>
      </c>
      <c r="F27" s="35">
        <v>1176.6400000000001</v>
      </c>
    </row>
    <row r="28" spans="1:6" x14ac:dyDescent="0.2">
      <c r="A28" s="162" t="s">
        <v>97</v>
      </c>
      <c r="B28" s="35">
        <v>928.28</v>
      </c>
      <c r="C28" s="35">
        <v>1812.06</v>
      </c>
      <c r="D28" s="35">
        <v>2432</v>
      </c>
      <c r="E28" s="35">
        <v>2348.85</v>
      </c>
      <c r="F28" s="35">
        <v>1086.96</v>
      </c>
    </row>
    <row r="29" spans="1:6" x14ac:dyDescent="0.2">
      <c r="A29" s="162" t="s">
        <v>118</v>
      </c>
      <c r="B29" s="35">
        <v>537.37</v>
      </c>
      <c r="C29" s="35">
        <v>700.78</v>
      </c>
      <c r="D29" s="35">
        <v>1331.82</v>
      </c>
      <c r="E29" s="35">
        <v>2314.2199999999998</v>
      </c>
      <c r="F29" s="35">
        <v>1112.08</v>
      </c>
    </row>
    <row r="30" spans="1:6" x14ac:dyDescent="0.2">
      <c r="A30" s="162" t="s">
        <v>119</v>
      </c>
      <c r="B30" s="35">
        <v>507.78</v>
      </c>
      <c r="C30" s="35">
        <v>574.59</v>
      </c>
      <c r="D30" s="35">
        <v>1149.19</v>
      </c>
      <c r="E30" s="35">
        <v>2352.73</v>
      </c>
      <c r="F30" s="35">
        <v>1139.56</v>
      </c>
    </row>
    <row r="31" spans="1:6" x14ac:dyDescent="0.2">
      <c r="A31" s="162" t="s">
        <v>98</v>
      </c>
      <c r="B31" s="35">
        <v>122</v>
      </c>
      <c r="C31" s="35">
        <v>164</v>
      </c>
      <c r="D31" s="35">
        <v>72</v>
      </c>
      <c r="E31" s="35">
        <v>120</v>
      </c>
      <c r="F31" s="35">
        <v>61</v>
      </c>
    </row>
    <row r="32" spans="1:6" x14ac:dyDescent="0.2">
      <c r="A32" s="162" t="s">
        <v>99</v>
      </c>
      <c r="B32" s="35">
        <v>2446.02</v>
      </c>
      <c r="C32" s="35">
        <f>4773.24-C37</f>
        <v>2832.7799999999997</v>
      </c>
      <c r="D32" s="35">
        <f>2508.47-D37</f>
        <v>1064.7199999999998</v>
      </c>
      <c r="E32" s="35">
        <f>4139.41-E37</f>
        <v>1660.4899999999998</v>
      </c>
      <c r="F32" s="35">
        <v>1831.61</v>
      </c>
    </row>
    <row r="33" spans="1:6" x14ac:dyDescent="0.2">
      <c r="A33" s="162" t="s">
        <v>100</v>
      </c>
      <c r="B33" s="35">
        <v>3175</v>
      </c>
      <c r="C33" s="35">
        <v>2330</v>
      </c>
      <c r="D33" s="35">
        <v>2421.48</v>
      </c>
      <c r="E33" s="35">
        <v>3031.11</v>
      </c>
      <c r="F33" s="35">
        <v>3419.75</v>
      </c>
    </row>
    <row r="34" spans="1:6" x14ac:dyDescent="0.2">
      <c r="A34" s="162" t="s">
        <v>601</v>
      </c>
      <c r="B34" s="35">
        <v>508.14</v>
      </c>
      <c r="C34" s="35">
        <v>1185.6199999999999</v>
      </c>
      <c r="D34" s="35">
        <v>1982.29</v>
      </c>
      <c r="E34" s="35">
        <v>2027.87</v>
      </c>
      <c r="F34" s="35">
        <v>1982.31</v>
      </c>
    </row>
    <row r="36" spans="1:6" s="206" customFormat="1" x14ac:dyDescent="0.2">
      <c r="A36" s="205" t="s">
        <v>110</v>
      </c>
    </row>
    <row r="37" spans="1:6" x14ac:dyDescent="0.2">
      <c r="A37" s="162" t="s">
        <v>101</v>
      </c>
      <c r="B37" s="35">
        <v>946.77</v>
      </c>
      <c r="C37" s="35">
        <v>1940.46</v>
      </c>
      <c r="D37" s="35">
        <v>1443.75</v>
      </c>
      <c r="E37" s="35">
        <v>2478.92</v>
      </c>
    </row>
    <row r="38" spans="1:6" x14ac:dyDescent="0.2">
      <c r="A38" s="162" t="s">
        <v>103</v>
      </c>
      <c r="B38" s="35">
        <v>12</v>
      </c>
      <c r="C38" s="35">
        <v>19</v>
      </c>
      <c r="D38" s="207">
        <v>21</v>
      </c>
      <c r="E38" s="35">
        <v>38</v>
      </c>
      <c r="F38" s="209">
        <f>F39-E39</f>
        <v>18</v>
      </c>
    </row>
    <row r="39" spans="1:6" x14ac:dyDescent="0.2">
      <c r="A39" s="162" t="s">
        <v>102</v>
      </c>
      <c r="C39" s="35">
        <v>96</v>
      </c>
      <c r="D39" s="35">
        <v>122</v>
      </c>
      <c r="E39" s="35">
        <v>156</v>
      </c>
      <c r="F39" s="35">
        <v>174</v>
      </c>
    </row>
    <row r="40" spans="1:6" ht="28.5" x14ac:dyDescent="0.2">
      <c r="A40" s="151" t="s">
        <v>104</v>
      </c>
      <c r="B40" s="208">
        <v>10.199999999999999</v>
      </c>
      <c r="C40" s="208">
        <v>21.16</v>
      </c>
      <c r="D40" s="208">
        <v>40.69</v>
      </c>
      <c r="E40" s="35">
        <v>56.7</v>
      </c>
      <c r="F40" s="35">
        <v>39.380000000000003</v>
      </c>
    </row>
    <row r="41" spans="1:6" x14ac:dyDescent="0.2">
      <c r="A41" s="162" t="s">
        <v>105</v>
      </c>
      <c r="C41" s="35">
        <v>390.4</v>
      </c>
      <c r="D41" s="35">
        <v>590.62</v>
      </c>
      <c r="E41" s="35">
        <v>940</v>
      </c>
      <c r="F41" s="35">
        <v>950.67</v>
      </c>
    </row>
    <row r="42" spans="1:6" x14ac:dyDescent="0.2">
      <c r="A42" s="162" t="s">
        <v>106</v>
      </c>
      <c r="B42" s="156">
        <v>0.97909999999999997</v>
      </c>
      <c r="C42" s="156">
        <v>0.98829999999999996</v>
      </c>
      <c r="D42" s="156">
        <v>0.99160000000000004</v>
      </c>
      <c r="E42" s="156">
        <v>0.99539999999999995</v>
      </c>
      <c r="F42" s="156">
        <v>0.97119999999999995</v>
      </c>
    </row>
    <row r="43" spans="1:6" x14ac:dyDescent="0.2">
      <c r="A43" s="162" t="s">
        <v>107</v>
      </c>
      <c r="B43" s="35">
        <v>2</v>
      </c>
      <c r="E43" s="35">
        <v>6.5</v>
      </c>
      <c r="F43" s="35">
        <v>4.96</v>
      </c>
    </row>
    <row r="44" spans="1:6" x14ac:dyDescent="0.2">
      <c r="A44" s="162" t="s">
        <v>108</v>
      </c>
      <c r="E44" s="35">
        <v>319</v>
      </c>
      <c r="F44" s="35">
        <v>272.75</v>
      </c>
    </row>
    <row r="45" spans="1:6" x14ac:dyDescent="0.2">
      <c r="A45" s="162" t="s">
        <v>109</v>
      </c>
      <c r="E45" s="35">
        <v>983</v>
      </c>
      <c r="F45" s="35">
        <v>1237</v>
      </c>
    </row>
    <row r="47" spans="1:6" x14ac:dyDescent="0.2">
      <c r="A47" s="162" t="s">
        <v>58</v>
      </c>
      <c r="B47" s="157">
        <v>17.760000000000002</v>
      </c>
      <c r="C47" s="157">
        <v>22.67</v>
      </c>
      <c r="D47" s="35">
        <v>43.72</v>
      </c>
      <c r="E47" s="159">
        <v>54.9</v>
      </c>
      <c r="F47" s="35">
        <v>27.38</v>
      </c>
    </row>
    <row r="48" spans="1:6" x14ac:dyDescent="0.2">
      <c r="A48" s="162" t="s">
        <v>59</v>
      </c>
      <c r="B48" s="157">
        <v>19.829999999999998</v>
      </c>
      <c r="C48" s="157">
        <v>22.66</v>
      </c>
      <c r="D48" s="35">
        <v>38.200000000000003</v>
      </c>
      <c r="E48" s="159">
        <v>40.18</v>
      </c>
      <c r="F48" s="35">
        <v>23.04</v>
      </c>
    </row>
    <row r="50" spans="1:6" x14ac:dyDescent="0.2">
      <c r="A50" s="162" t="s">
        <v>113</v>
      </c>
      <c r="E50" s="156">
        <v>0.74119999999999997</v>
      </c>
      <c r="F50" s="156">
        <v>0.75449999999999995</v>
      </c>
    </row>
    <row r="51" spans="1:6" x14ac:dyDescent="0.2">
      <c r="A51" s="162" t="s">
        <v>17</v>
      </c>
      <c r="E51" s="156">
        <v>0.4365</v>
      </c>
      <c r="F51" s="156">
        <v>0.6048</v>
      </c>
    </row>
    <row r="52" spans="1:6" x14ac:dyDescent="0.2">
      <c r="A52" s="162" t="s">
        <v>114</v>
      </c>
      <c r="B52" s="159">
        <f t="shared" ref="B52:D52" si="1">(B4-B5-B6)/B17</f>
        <v>1.5665842731345589</v>
      </c>
      <c r="C52" s="159">
        <f t="shared" si="1"/>
        <v>3.0259620554574083</v>
      </c>
      <c r="D52" s="159">
        <f t="shared" si="1"/>
        <v>2.3301106104055713</v>
      </c>
      <c r="E52" s="159">
        <f>(E4-E5-E6)/E17</f>
        <v>2.1474049778120783</v>
      </c>
      <c r="F52" s="159">
        <f>(F4-F5-F6)/F17</f>
        <v>1.530286886863186</v>
      </c>
    </row>
  </sheetData>
  <mergeCells count="1">
    <mergeCell ref="F12:F13"/>
  </mergeCells>
  <phoneticPr fontId="1" type="noConversion"/>
  <conditionalFormatting sqref="A32:XFD32">
    <cfRule type="colorScale" priority="4">
      <colorScale>
        <cfvo type="min"/>
        <cfvo type="max"/>
        <color rgb="FFFFEF9C"/>
        <color rgb="FF63BE7B"/>
      </colorScale>
    </cfRule>
  </conditionalFormatting>
  <conditionalFormatting sqref="A28:XFD2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FFEA-5B06-410E-872C-4377BB32804F}">
  <dimension ref="A1:X72"/>
  <sheetViews>
    <sheetView workbookViewId="0">
      <selection activeCell="L36" sqref="L36"/>
    </sheetView>
  </sheetViews>
  <sheetFormatPr defaultRowHeight="15" x14ac:dyDescent="0.2"/>
  <cols>
    <col min="1" max="1" width="23.25" style="130" customWidth="1"/>
    <col min="2" max="2" width="11.375" style="115" customWidth="1"/>
    <col min="3" max="3" width="11.5" style="115" customWidth="1"/>
    <col min="4" max="4" width="11.875" style="115" customWidth="1"/>
    <col min="5" max="5" width="11.125" style="115" customWidth="1"/>
    <col min="6" max="6" width="9.25" style="115" customWidth="1"/>
    <col min="7" max="7" width="12.25" style="115" customWidth="1"/>
    <col min="8" max="16384" width="9" style="115"/>
  </cols>
  <sheetData>
    <row r="1" spans="1:24" s="111" customFormat="1" ht="25.5" customHeight="1" x14ac:dyDescent="0.2">
      <c r="A1" s="111" t="s">
        <v>284</v>
      </c>
      <c r="B1" s="111" t="s">
        <v>4</v>
      </c>
      <c r="C1" s="111" t="s">
        <v>3</v>
      </c>
      <c r="D1" s="111" t="s">
        <v>2</v>
      </c>
      <c r="E1" s="111" t="s">
        <v>1</v>
      </c>
      <c r="F1" s="111" t="s">
        <v>648</v>
      </c>
    </row>
    <row r="2" spans="1:24" ht="16.5" x14ac:dyDescent="0.2">
      <c r="A2" s="113" t="s">
        <v>129</v>
      </c>
      <c r="B2" s="131">
        <v>275.10000000000002</v>
      </c>
      <c r="C2" s="131">
        <v>335.84</v>
      </c>
      <c r="D2" s="131">
        <v>408.88</v>
      </c>
      <c r="E2" s="131">
        <v>463.4</v>
      </c>
      <c r="F2" s="131">
        <v>495.15</v>
      </c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</row>
    <row r="3" spans="1:24" ht="16.5" x14ac:dyDescent="0.2">
      <c r="A3" s="113" t="s">
        <v>649</v>
      </c>
      <c r="B3" s="131">
        <v>18.7</v>
      </c>
      <c r="C3" s="131">
        <v>27.76</v>
      </c>
      <c r="D3" s="131">
        <v>37.85</v>
      </c>
      <c r="E3" s="131">
        <v>54.22</v>
      </c>
      <c r="F3" s="131">
        <v>87.15</v>
      </c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</row>
    <row r="4" spans="1:24" ht="16.5" x14ac:dyDescent="0.35">
      <c r="A4" s="85" t="s">
        <v>557</v>
      </c>
      <c r="B4" s="131">
        <v>235.33</v>
      </c>
      <c r="C4" s="131">
        <v>303.67</v>
      </c>
      <c r="D4" s="131">
        <v>303.56</v>
      </c>
      <c r="E4" s="131">
        <v>315.97000000000003</v>
      </c>
      <c r="F4" s="131">
        <v>291.67</v>
      </c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</row>
    <row r="5" spans="1:24" ht="16.5" x14ac:dyDescent="0.35">
      <c r="A5" s="85" t="s">
        <v>589</v>
      </c>
      <c r="B5" s="131">
        <v>10.220000000000001</v>
      </c>
      <c r="C5" s="131">
        <v>29.83</v>
      </c>
      <c r="D5" s="131">
        <v>49.6</v>
      </c>
      <c r="E5" s="131">
        <v>36.03</v>
      </c>
      <c r="F5" s="131">
        <v>28.52</v>
      </c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</row>
    <row r="6" spans="1:24" ht="16.5" x14ac:dyDescent="0.35">
      <c r="A6" s="85" t="s">
        <v>590</v>
      </c>
      <c r="B6" s="131">
        <v>642.29999999999995</v>
      </c>
      <c r="C6" s="131">
        <v>718.18</v>
      </c>
      <c r="D6" s="131">
        <v>754.02</v>
      </c>
      <c r="E6" s="131">
        <v>832.16</v>
      </c>
      <c r="F6" s="131">
        <v>561.13</v>
      </c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</row>
    <row r="7" spans="1:24" ht="16.5" x14ac:dyDescent="0.2">
      <c r="A7" s="113"/>
      <c r="B7" s="131"/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</row>
    <row r="8" spans="1:24" ht="16.5" x14ac:dyDescent="0.2">
      <c r="A8" s="113" t="s">
        <v>650</v>
      </c>
      <c r="B8" s="131">
        <v>387.04</v>
      </c>
      <c r="C8" s="131">
        <v>563.67999999999995</v>
      </c>
      <c r="D8" s="131">
        <v>709.12</v>
      </c>
      <c r="E8" s="131">
        <v>715.11</v>
      </c>
      <c r="F8" s="131">
        <v>342.24</v>
      </c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</row>
    <row r="9" spans="1:24" ht="16.5" x14ac:dyDescent="0.2">
      <c r="A9" s="113" t="s">
        <v>651</v>
      </c>
      <c r="B9" s="131">
        <v>57.61</v>
      </c>
      <c r="C9" s="131">
        <v>75.650000000000006</v>
      </c>
      <c r="D9" s="131">
        <v>91.2</v>
      </c>
      <c r="E9" s="131">
        <v>75.010000000000005</v>
      </c>
      <c r="F9" s="131">
        <v>25.33</v>
      </c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</row>
    <row r="10" spans="1:24" s="180" customFormat="1" ht="16.5" x14ac:dyDescent="0.2">
      <c r="A10" s="179" t="s">
        <v>653</v>
      </c>
      <c r="B10" s="133">
        <f>B9/B8</f>
        <v>0.14884766432410085</v>
      </c>
      <c r="C10" s="133">
        <f t="shared" ref="C10:F10" si="0">C9/C8</f>
        <v>0.13420735168890152</v>
      </c>
      <c r="D10" s="133">
        <f t="shared" si="0"/>
        <v>0.12861010830324909</v>
      </c>
      <c r="E10" s="133">
        <f t="shared" si="0"/>
        <v>0.10489295353162451</v>
      </c>
      <c r="F10" s="133">
        <f t="shared" si="0"/>
        <v>7.4012388966806911E-2</v>
      </c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</row>
    <row r="11" spans="1:24" ht="16.5" x14ac:dyDescent="0.2">
      <c r="A11" s="113" t="s">
        <v>652</v>
      </c>
      <c r="B11" s="131">
        <v>50.74</v>
      </c>
      <c r="C11" s="131">
        <v>73.37</v>
      </c>
      <c r="D11" s="131">
        <v>90.43</v>
      </c>
      <c r="E11" s="131">
        <v>74.94</v>
      </c>
      <c r="F11" s="131">
        <v>26.15</v>
      </c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</row>
    <row r="12" spans="1:24" s="118" customFormat="1" ht="16.5" x14ac:dyDescent="0.2">
      <c r="A12" s="136" t="s">
        <v>433</v>
      </c>
      <c r="B12" s="134">
        <v>345.82</v>
      </c>
      <c r="C12" s="134">
        <v>499.61</v>
      </c>
      <c r="D12" s="134">
        <v>634.1</v>
      </c>
      <c r="E12" s="134">
        <v>620.75</v>
      </c>
      <c r="F12" s="134">
        <v>315.77999999999997</v>
      </c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</row>
    <row r="13" spans="1:24" ht="16.5" x14ac:dyDescent="0.2">
      <c r="A13" s="135" t="s">
        <v>196</v>
      </c>
      <c r="B13" s="133">
        <f>C13-4.07%</f>
        <v>0.27160000000000001</v>
      </c>
      <c r="C13" s="133">
        <f>D13+1.75%</f>
        <v>0.31230000000000002</v>
      </c>
      <c r="D13" s="133">
        <v>0.29480000000000001</v>
      </c>
      <c r="E13" s="133">
        <v>0.28660000000000002</v>
      </c>
      <c r="F13" s="133">
        <v>0.2329</v>
      </c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</row>
    <row r="14" spans="1:24" ht="16.5" x14ac:dyDescent="0.2">
      <c r="A14" s="135"/>
      <c r="B14" s="133"/>
      <c r="C14" s="133"/>
      <c r="D14" s="133"/>
      <c r="E14" s="133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</row>
    <row r="15" spans="1:24" ht="16.5" x14ac:dyDescent="0.2">
      <c r="A15" s="135" t="s">
        <v>285</v>
      </c>
      <c r="B15" s="131">
        <v>679.3</v>
      </c>
      <c r="C15" s="131">
        <v>1015.63</v>
      </c>
      <c r="D15" s="131">
        <v>1153.56</v>
      </c>
      <c r="E15" s="131">
        <v>1270.97</v>
      </c>
      <c r="F15" s="131">
        <v>567.66999999999996</v>
      </c>
      <c r="G15" s="239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</row>
    <row r="16" spans="1:24" ht="16.5" x14ac:dyDescent="0.2">
      <c r="A16" s="135" t="s">
        <v>203</v>
      </c>
      <c r="B16" s="131">
        <v>635.57000000000005</v>
      </c>
      <c r="C16" s="131">
        <v>983.4</v>
      </c>
      <c r="D16" s="131">
        <v>1098.07</v>
      </c>
      <c r="E16" s="131">
        <v>1174.45</v>
      </c>
      <c r="F16" s="131">
        <v>479.76</v>
      </c>
      <c r="G16" s="239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</row>
    <row r="17" spans="1:24" ht="16.5" hidden="1" x14ac:dyDescent="0.2">
      <c r="A17" s="135" t="s">
        <v>198</v>
      </c>
      <c r="B17" s="131">
        <v>612</v>
      </c>
      <c r="C17" s="131">
        <v>815</v>
      </c>
      <c r="D17" s="131">
        <v>860</v>
      </c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</row>
    <row r="18" spans="1:24" ht="16.5" hidden="1" x14ac:dyDescent="0.2">
      <c r="A18" s="135" t="s">
        <v>303</v>
      </c>
      <c r="B18" s="131">
        <v>470.58</v>
      </c>
      <c r="C18" s="131">
        <v>449.93</v>
      </c>
      <c r="D18" s="131">
        <v>478.03</v>
      </c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</row>
    <row r="19" spans="1:24" ht="16.5" x14ac:dyDescent="0.2">
      <c r="A19" s="135" t="s">
        <v>654</v>
      </c>
      <c r="B19" s="131">
        <v>669.97</v>
      </c>
      <c r="C19" s="131">
        <v>870.49</v>
      </c>
      <c r="D19" s="131">
        <v>890.15</v>
      </c>
      <c r="E19" s="131">
        <v>837.48</v>
      </c>
      <c r="F19" s="131">
        <v>865.9</v>
      </c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</row>
    <row r="20" spans="1:24" ht="16.5" x14ac:dyDescent="0.2">
      <c r="A20" s="135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</row>
    <row r="21" spans="1:24" ht="16.5" x14ac:dyDescent="0.2">
      <c r="A21" s="135" t="s">
        <v>200</v>
      </c>
      <c r="B21" s="131">
        <v>146</v>
      </c>
      <c r="C21" s="131">
        <v>89</v>
      </c>
      <c r="D21" s="131">
        <v>102</v>
      </c>
      <c r="E21" s="131">
        <v>65</v>
      </c>
      <c r="F21" s="131">
        <v>28</v>
      </c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</row>
    <row r="22" spans="1:24" ht="16.5" hidden="1" x14ac:dyDescent="0.2">
      <c r="A22" s="135" t="s">
        <v>290</v>
      </c>
      <c r="B22" s="131"/>
      <c r="C22" s="131"/>
      <c r="D22" s="131">
        <v>863</v>
      </c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</row>
    <row r="23" spans="1:24" ht="16.5" hidden="1" x14ac:dyDescent="0.2">
      <c r="A23" s="135" t="s">
        <v>291</v>
      </c>
      <c r="B23" s="131"/>
      <c r="C23" s="131"/>
      <c r="D23" s="131">
        <v>900</v>
      </c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</row>
    <row r="24" spans="1:24" ht="16.5" hidden="1" x14ac:dyDescent="0.2">
      <c r="A24" s="135" t="s">
        <v>292</v>
      </c>
      <c r="B24" s="131"/>
      <c r="C24" s="131"/>
      <c r="D24" s="131">
        <v>160</v>
      </c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</row>
    <row r="25" spans="1:24" ht="16.5" hidden="1" x14ac:dyDescent="0.2">
      <c r="A25" s="135" t="s">
        <v>296</v>
      </c>
      <c r="B25" s="131"/>
      <c r="C25" s="131"/>
      <c r="D25" s="131">
        <v>302</v>
      </c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</row>
    <row r="26" spans="1:24" ht="16.5" hidden="1" x14ac:dyDescent="0.2">
      <c r="A26" s="135" t="s">
        <v>297</v>
      </c>
      <c r="B26" s="131"/>
      <c r="C26" s="131"/>
      <c r="D26" s="131">
        <v>266.04000000000002</v>
      </c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</row>
    <row r="27" spans="1:24" ht="16.5" x14ac:dyDescent="0.2">
      <c r="A27" s="135" t="s">
        <v>286</v>
      </c>
      <c r="B27" s="131">
        <v>1272.31</v>
      </c>
      <c r="C27" s="131">
        <v>760.53</v>
      </c>
      <c r="D27" s="131">
        <v>979.34</v>
      </c>
      <c r="E27" s="131">
        <v>714.57</v>
      </c>
      <c r="F27" s="131">
        <v>302.86</v>
      </c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</row>
    <row r="28" spans="1:24" ht="16.5" x14ac:dyDescent="0.2">
      <c r="A28" s="135" t="s">
        <v>287</v>
      </c>
      <c r="B28" s="131">
        <v>3495.21</v>
      </c>
      <c r="C28" s="131">
        <v>3613.54</v>
      </c>
      <c r="D28" s="131">
        <v>3726.64</v>
      </c>
      <c r="E28" s="131">
        <v>3835.98</v>
      </c>
      <c r="F28" s="131">
        <v>3741.25</v>
      </c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</row>
    <row r="29" spans="1:24" ht="16.5" x14ac:dyDescent="0.2">
      <c r="A29" s="135" t="s">
        <v>434</v>
      </c>
      <c r="B29" s="131"/>
      <c r="C29" s="131"/>
      <c r="D29" s="131"/>
      <c r="E29" s="131">
        <v>281.61</v>
      </c>
      <c r="F29" s="131">
        <v>123.4</v>
      </c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</row>
    <row r="30" spans="1:24" ht="16.5" x14ac:dyDescent="0.2">
      <c r="A30" s="135" t="s">
        <v>435</v>
      </c>
      <c r="B30" s="131"/>
      <c r="C30" s="131"/>
      <c r="D30" s="131"/>
      <c r="E30" s="131">
        <v>249.91</v>
      </c>
      <c r="F30" s="131">
        <v>80.180000000000007</v>
      </c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</row>
    <row r="31" spans="1:24" ht="16.5" x14ac:dyDescent="0.2">
      <c r="A31" s="135"/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</row>
    <row r="32" spans="1:24" ht="16.5" x14ac:dyDescent="0.2">
      <c r="A32" s="135" t="s">
        <v>288</v>
      </c>
      <c r="B32" s="131">
        <v>881.86</v>
      </c>
      <c r="C32" s="131">
        <v>898.39</v>
      </c>
      <c r="D32" s="131">
        <v>944.34</v>
      </c>
      <c r="E32" s="131">
        <v>964.13</v>
      </c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</row>
    <row r="33" spans="1:24" ht="16.5" x14ac:dyDescent="0.2">
      <c r="A33" s="135" t="s">
        <v>248</v>
      </c>
      <c r="B33" s="131">
        <v>368.65</v>
      </c>
      <c r="C33" s="131">
        <v>615.65</v>
      </c>
      <c r="D33" s="131">
        <v>632.34</v>
      </c>
      <c r="E33" s="131">
        <v>695.8</v>
      </c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</row>
    <row r="34" spans="1:24" ht="16.5" x14ac:dyDescent="0.2">
      <c r="A34" s="135" t="s">
        <v>289</v>
      </c>
      <c r="B34" s="131">
        <v>456.53</v>
      </c>
      <c r="C34" s="131">
        <v>595.27</v>
      </c>
      <c r="D34" s="131">
        <v>660.07</v>
      </c>
      <c r="E34" s="131">
        <v>600.80999999999995</v>
      </c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</row>
    <row r="35" spans="1:24" ht="16.5" x14ac:dyDescent="0.2">
      <c r="A35" s="135"/>
      <c r="B35" s="131"/>
      <c r="C35" s="131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</row>
    <row r="36" spans="1:24" ht="16.5" x14ac:dyDescent="0.2">
      <c r="A36" s="135" t="s">
        <v>298</v>
      </c>
      <c r="B36" s="132">
        <v>470.57</v>
      </c>
      <c r="C36" s="132">
        <v>449.93</v>
      </c>
      <c r="D36" s="131">
        <v>659.62</v>
      </c>
      <c r="E36" s="131">
        <v>730.99</v>
      </c>
      <c r="F36" s="131">
        <v>678.95</v>
      </c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</row>
    <row r="37" spans="1:24" ht="16.5" x14ac:dyDescent="0.2">
      <c r="A37" s="135" t="s">
        <v>161</v>
      </c>
      <c r="B37" s="131">
        <v>218</v>
      </c>
      <c r="C37" s="131">
        <v>268</v>
      </c>
      <c r="D37" s="131">
        <v>348.32</v>
      </c>
      <c r="E37" s="131">
        <v>257.14999999999998</v>
      </c>
      <c r="F37" s="131">
        <v>251.64</v>
      </c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</row>
    <row r="38" spans="1:24" ht="16.5" x14ac:dyDescent="0.2">
      <c r="A38" s="135" t="s">
        <v>162</v>
      </c>
      <c r="B38" s="131">
        <v>380</v>
      </c>
      <c r="C38" s="131">
        <v>356</v>
      </c>
      <c r="D38" s="131">
        <f>D36-D37</f>
        <v>311.3</v>
      </c>
      <c r="E38" s="131">
        <f>E36-E37</f>
        <v>473.84000000000003</v>
      </c>
      <c r="F38" s="131">
        <f>F36-F37</f>
        <v>427.31000000000006</v>
      </c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</row>
    <row r="39" spans="1:24" ht="16.5" x14ac:dyDescent="0.2">
      <c r="A39" s="135" t="s">
        <v>204</v>
      </c>
      <c r="B39" s="131">
        <v>92.62</v>
      </c>
      <c r="C39" s="131"/>
      <c r="D39" s="131">
        <v>111.85</v>
      </c>
      <c r="E39" s="131">
        <v>138.99</v>
      </c>
      <c r="F39" s="131">
        <v>137.68</v>
      </c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</row>
    <row r="40" spans="1:24" ht="16.5" x14ac:dyDescent="0.2">
      <c r="A40" s="135"/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</row>
    <row r="41" spans="1:24" ht="16.5" x14ac:dyDescent="0.2">
      <c r="A41" s="135" t="s">
        <v>58</v>
      </c>
      <c r="B41" s="131">
        <v>11.65</v>
      </c>
      <c r="C41" s="131">
        <v>17.27</v>
      </c>
      <c r="D41" s="131">
        <v>22.44</v>
      </c>
      <c r="E41" s="131">
        <v>24.36</v>
      </c>
      <c r="F41" s="131">
        <v>11.95</v>
      </c>
      <c r="G41" s="239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</row>
    <row r="42" spans="1:24" ht="16.5" x14ac:dyDescent="0.2">
      <c r="A42" s="135" t="s">
        <v>59</v>
      </c>
      <c r="B42" s="131">
        <v>14.06</v>
      </c>
      <c r="C42" s="131">
        <v>19.5</v>
      </c>
      <c r="D42" s="131">
        <v>22.69</v>
      </c>
      <c r="E42" s="131">
        <v>26.2</v>
      </c>
      <c r="F42" s="131">
        <v>13.29</v>
      </c>
      <c r="G42" s="239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</row>
    <row r="43" spans="1:24" ht="16.5" hidden="1" x14ac:dyDescent="0.2">
      <c r="A43" s="127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</row>
    <row r="44" spans="1:24" s="128" customFormat="1" ht="16.5" hidden="1" x14ac:dyDescent="0.2">
      <c r="A44" s="127" t="s">
        <v>293</v>
      </c>
      <c r="F44" s="236"/>
      <c r="G44" s="236"/>
      <c r="H44" s="236"/>
      <c r="I44" s="236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</row>
    <row r="45" spans="1:24" ht="16.5" hidden="1" x14ac:dyDescent="0.2">
      <c r="A45" s="127" t="s">
        <v>290</v>
      </c>
      <c r="D45" s="115">
        <v>116</v>
      </c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</row>
    <row r="46" spans="1:24" ht="16.5" hidden="1" x14ac:dyDescent="0.2">
      <c r="A46" s="127" t="s">
        <v>304</v>
      </c>
      <c r="C46" s="115">
        <v>36.01</v>
      </c>
      <c r="D46" s="115">
        <v>59.07</v>
      </c>
      <c r="E46" s="115">
        <v>57.29</v>
      </c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</row>
    <row r="47" spans="1:24" ht="16.5" hidden="1" x14ac:dyDescent="0.2">
      <c r="A47" s="127" t="s">
        <v>305</v>
      </c>
      <c r="B47" s="115">
        <v>47.61</v>
      </c>
      <c r="C47" s="115">
        <v>50.98</v>
      </c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</row>
    <row r="48" spans="1:24" ht="16.5" hidden="1" x14ac:dyDescent="0.2">
      <c r="A48" s="127" t="s">
        <v>295</v>
      </c>
      <c r="B48" s="115">
        <v>37.71</v>
      </c>
      <c r="C48" s="115">
        <v>40.770000000000003</v>
      </c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</row>
    <row r="49" spans="1:24" ht="16.5" hidden="1" x14ac:dyDescent="0.2">
      <c r="A49" s="127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</row>
    <row r="50" spans="1:24" s="128" customFormat="1" ht="16.5" hidden="1" x14ac:dyDescent="0.2">
      <c r="A50" s="127" t="s">
        <v>294</v>
      </c>
      <c r="F50" s="236"/>
      <c r="G50" s="236"/>
      <c r="H50" s="236"/>
      <c r="I50" s="236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</row>
    <row r="51" spans="1:24" ht="16.5" hidden="1" x14ac:dyDescent="0.2">
      <c r="A51" s="127" t="s">
        <v>295</v>
      </c>
      <c r="B51" s="115">
        <v>18.27</v>
      </c>
      <c r="C51" s="115">
        <v>35.619999999999997</v>
      </c>
      <c r="D51" s="115">
        <v>65.37</v>
      </c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</row>
    <row r="52" spans="1:24" ht="16.5" hidden="1" x14ac:dyDescent="0.2">
      <c r="A52" s="127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</row>
    <row r="53" spans="1:24" s="128" customFormat="1" ht="16.5" hidden="1" x14ac:dyDescent="0.2">
      <c r="A53" s="127" t="s">
        <v>306</v>
      </c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6"/>
      <c r="X53" s="236"/>
    </row>
    <row r="54" spans="1:24" ht="16.5" hidden="1" x14ac:dyDescent="0.2">
      <c r="A54" s="127" t="s">
        <v>307</v>
      </c>
      <c r="C54" s="115">
        <v>175</v>
      </c>
      <c r="D54" s="115">
        <v>262</v>
      </c>
      <c r="E54" s="115">
        <v>271.18</v>
      </c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</row>
    <row r="55" spans="1:24" ht="16.5" x14ac:dyDescent="0.2">
      <c r="A55" s="127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</row>
    <row r="56" spans="1:24" s="237" customFormat="1" ht="16.5" x14ac:dyDescent="0.35">
      <c r="A56" s="121" t="s">
        <v>114</v>
      </c>
      <c r="B56" s="237">
        <f>(B4-B5)/B37</f>
        <v>1.0326146788990826</v>
      </c>
      <c r="C56" s="237">
        <f>(C4-C5)/C37</f>
        <v>1.0217910447761196</v>
      </c>
      <c r="D56" s="237">
        <f>(D4-D5)/D37</f>
        <v>0.72909967845659163</v>
      </c>
      <c r="E56" s="237">
        <f>(E4-E5)/E37</f>
        <v>1.0886253159634458</v>
      </c>
      <c r="F56" s="237">
        <f>(F4-F5)/F37</f>
        <v>1.0457399459545385</v>
      </c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38"/>
      <c r="V56" s="238"/>
      <c r="W56" s="238"/>
      <c r="X56" s="238"/>
    </row>
    <row r="57" spans="1:24" ht="16.5" x14ac:dyDescent="0.35">
      <c r="A57" s="85" t="s">
        <v>17</v>
      </c>
      <c r="F57" s="133">
        <v>0.66500000000000004</v>
      </c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</row>
    <row r="58" spans="1:24" ht="16.5" x14ac:dyDescent="0.35">
      <c r="A58" s="85" t="s">
        <v>268</v>
      </c>
      <c r="F58" s="133">
        <v>0.70809999999999995</v>
      </c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</row>
    <row r="59" spans="1:24" ht="16.5" x14ac:dyDescent="0.35">
      <c r="A59" s="85" t="s">
        <v>430</v>
      </c>
      <c r="F59" s="133">
        <v>0.80159999999999998</v>
      </c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</row>
    <row r="60" spans="1:24" ht="16.5" x14ac:dyDescent="0.2">
      <c r="A60" s="127"/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</row>
    <row r="61" spans="1:24" ht="16.5" x14ac:dyDescent="0.2">
      <c r="A61" s="135" t="s">
        <v>299</v>
      </c>
      <c r="B61" s="131">
        <v>1500</v>
      </c>
      <c r="C61" s="131">
        <v>1672.51</v>
      </c>
      <c r="D61" s="131">
        <v>1355.92</v>
      </c>
      <c r="E61" s="131">
        <v>1122.23</v>
      </c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</row>
    <row r="62" spans="1:24" ht="16.5" x14ac:dyDescent="0.2">
      <c r="A62" s="135" t="s">
        <v>300</v>
      </c>
      <c r="B62" s="131">
        <v>600</v>
      </c>
      <c r="C62" s="131">
        <v>611.42999999999995</v>
      </c>
      <c r="D62" s="131">
        <v>520</v>
      </c>
      <c r="E62" s="131">
        <v>544.9</v>
      </c>
      <c r="F62" s="131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</row>
    <row r="63" spans="1:24" ht="16.5" x14ac:dyDescent="0.2">
      <c r="A63" s="135" t="s">
        <v>308</v>
      </c>
      <c r="B63" s="133">
        <v>6.5000000000000002E-2</v>
      </c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</row>
    <row r="64" spans="1:24" ht="16.5" x14ac:dyDescent="0.2">
      <c r="A64" s="135" t="s">
        <v>301</v>
      </c>
      <c r="B64" s="131">
        <v>880</v>
      </c>
      <c r="C64" s="131">
        <v>1120</v>
      </c>
      <c r="D64" s="131">
        <v>1210</v>
      </c>
      <c r="E64" s="131">
        <v>1300</v>
      </c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</row>
    <row r="65" spans="1:24" ht="16.5" x14ac:dyDescent="0.2">
      <c r="A65" s="135" t="s">
        <v>302</v>
      </c>
      <c r="B65" s="131">
        <v>800</v>
      </c>
      <c r="C65" s="131">
        <v>920</v>
      </c>
      <c r="D65" s="131">
        <v>968</v>
      </c>
      <c r="E65" s="131">
        <v>1050</v>
      </c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</row>
    <row r="66" spans="1:24" x14ac:dyDescent="0.2">
      <c r="A66" s="129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</row>
    <row r="67" spans="1:24" x14ac:dyDescent="0.2">
      <c r="A67" s="129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</row>
    <row r="68" spans="1:24" x14ac:dyDescent="0.2">
      <c r="A68" s="129"/>
      <c r="F68" s="131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</row>
    <row r="69" spans="1:24" x14ac:dyDescent="0.2">
      <c r="A69" s="129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</row>
    <row r="70" spans="1:24" x14ac:dyDescent="0.2">
      <c r="A70" s="129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</row>
    <row r="71" spans="1:24" x14ac:dyDescent="0.2">
      <c r="A71" s="129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</row>
    <row r="72" spans="1:24" x14ac:dyDescent="0.2">
      <c r="A72" s="129"/>
    </row>
  </sheetData>
  <phoneticPr fontId="1" type="noConversion"/>
  <conditionalFormatting sqref="A4">
    <cfRule type="colorScale" priority="2">
      <colorScale>
        <cfvo type="min"/>
        <cfvo type="max"/>
        <color rgb="FFFFEF9C"/>
        <color rgb="FF63BE7B"/>
      </colorScale>
    </cfRule>
  </conditionalFormatting>
  <conditionalFormatting sqref="A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3B86A-9821-458F-884B-020AB1872A0B}">
  <dimension ref="A1:H53"/>
  <sheetViews>
    <sheetView workbookViewId="0">
      <pane ySplit="1" topLeftCell="A47" activePane="bottomLeft" state="frozen"/>
      <selection pane="bottomLeft" activeCell="F63" sqref="F63"/>
    </sheetView>
  </sheetViews>
  <sheetFormatPr defaultRowHeight="14.25" x14ac:dyDescent="0.2"/>
  <cols>
    <col min="1" max="1" width="25.875" style="41" customWidth="1"/>
    <col min="2" max="3" width="11" style="36" customWidth="1"/>
    <col min="4" max="4" width="9.875" style="36" customWidth="1"/>
    <col min="5" max="5" width="10.625" style="36" customWidth="1"/>
    <col min="6" max="6" width="10.25" style="36" customWidth="1"/>
    <col min="7" max="7" width="8.75" style="42" customWidth="1"/>
    <col min="8" max="8" width="12.75" style="36" customWidth="1"/>
    <col min="9" max="16384" width="9" style="36"/>
  </cols>
  <sheetData>
    <row r="1" spans="1:8" s="44" customFormat="1" ht="26.25" customHeight="1" x14ac:dyDescent="0.2">
      <c r="A1" s="44" t="s">
        <v>370</v>
      </c>
      <c r="B1" s="45" t="s">
        <v>178</v>
      </c>
      <c r="C1" s="45" t="s">
        <v>4</v>
      </c>
      <c r="D1" s="45" t="s">
        <v>70</v>
      </c>
      <c r="E1" s="45" t="s">
        <v>71</v>
      </c>
      <c r="F1" s="45" t="s">
        <v>72</v>
      </c>
      <c r="G1" s="45" t="s">
        <v>660</v>
      </c>
    </row>
    <row r="2" spans="1:8" x14ac:dyDescent="0.2">
      <c r="A2" s="41" t="s">
        <v>129</v>
      </c>
      <c r="B2" s="36">
        <v>374.3</v>
      </c>
      <c r="C2" s="36">
        <v>407.64</v>
      </c>
      <c r="D2" s="36">
        <v>464.5</v>
      </c>
      <c r="E2" s="36">
        <v>540.94000000000005</v>
      </c>
      <c r="F2" s="36">
        <v>574.78</v>
      </c>
      <c r="G2" s="42">
        <v>558.47</v>
      </c>
    </row>
    <row r="3" spans="1:8" x14ac:dyDescent="0.2">
      <c r="A3" s="41" t="s">
        <v>661</v>
      </c>
      <c r="B3" s="36">
        <v>156.72999999999999</v>
      </c>
      <c r="C3" s="36">
        <v>171.92</v>
      </c>
      <c r="D3" s="36">
        <v>200.27</v>
      </c>
      <c r="E3" s="36">
        <v>282.75</v>
      </c>
      <c r="F3" s="36">
        <v>365.6</v>
      </c>
      <c r="G3" s="42">
        <v>408.59</v>
      </c>
    </row>
    <row r="4" spans="1:8" x14ac:dyDescent="0.2">
      <c r="A4" s="41" t="s">
        <v>663</v>
      </c>
      <c r="B4" s="36">
        <v>215.65</v>
      </c>
      <c r="C4" s="36">
        <v>274.06</v>
      </c>
      <c r="D4" s="36">
        <v>440.1</v>
      </c>
      <c r="E4" s="36">
        <v>451.42</v>
      </c>
      <c r="F4" s="36">
        <v>541.97</v>
      </c>
      <c r="G4" s="42">
        <v>597.91999999999996</v>
      </c>
    </row>
    <row r="5" spans="1:8" x14ac:dyDescent="0.2">
      <c r="A5" s="41" t="s">
        <v>670</v>
      </c>
      <c r="G5" s="42">
        <v>60.32</v>
      </c>
    </row>
    <row r="6" spans="1:8" x14ac:dyDescent="0.2">
      <c r="A6" s="41" t="s">
        <v>664</v>
      </c>
      <c r="B6" s="36">
        <v>5.18</v>
      </c>
      <c r="C6" s="36">
        <v>6.86</v>
      </c>
      <c r="D6" s="36">
        <v>29.65</v>
      </c>
      <c r="E6" s="36">
        <v>7.62</v>
      </c>
      <c r="F6" s="36">
        <v>5.33</v>
      </c>
      <c r="G6" s="42">
        <v>74.34</v>
      </c>
    </row>
    <row r="7" spans="1:8" x14ac:dyDescent="0.2">
      <c r="A7" s="41" t="s">
        <v>665</v>
      </c>
      <c r="B7" s="36">
        <v>763.98</v>
      </c>
      <c r="C7" s="36">
        <v>1170.92</v>
      </c>
      <c r="D7" s="36">
        <v>1506.37</v>
      </c>
      <c r="E7" s="36">
        <v>1738.56</v>
      </c>
      <c r="F7" s="36">
        <v>2212.64</v>
      </c>
      <c r="G7" s="42">
        <v>1436.63</v>
      </c>
    </row>
    <row r="9" spans="1:8" x14ac:dyDescent="0.2">
      <c r="A9" s="41" t="s">
        <v>531</v>
      </c>
      <c r="B9" s="38">
        <v>553.29</v>
      </c>
      <c r="C9" s="38">
        <v>373.32</v>
      </c>
      <c r="D9" s="38">
        <v>503.12</v>
      </c>
      <c r="E9" s="38">
        <v>630.84</v>
      </c>
      <c r="F9" s="36">
        <v>836.57</v>
      </c>
      <c r="G9" s="42">
        <v>341.15</v>
      </c>
      <c r="H9" s="36" t="s">
        <v>673</v>
      </c>
    </row>
    <row r="10" spans="1:8" x14ac:dyDescent="0.2">
      <c r="A10" s="41" t="s">
        <v>532</v>
      </c>
      <c r="B10" s="38">
        <v>63</v>
      </c>
      <c r="C10" s="38">
        <v>68.430000000000007</v>
      </c>
      <c r="D10" s="38">
        <v>80.98</v>
      </c>
      <c r="E10" s="38">
        <v>100.75</v>
      </c>
      <c r="F10" s="36">
        <v>103.98</v>
      </c>
      <c r="G10" s="42">
        <v>18.25</v>
      </c>
      <c r="H10" s="261" t="s">
        <v>678</v>
      </c>
    </row>
    <row r="11" spans="1:8" s="37" customFormat="1" x14ac:dyDescent="0.2">
      <c r="A11" s="185" t="s">
        <v>533</v>
      </c>
      <c r="B11" s="37">
        <f>B10/B9</f>
        <v>0.11386433877351841</v>
      </c>
      <c r="C11" s="37">
        <f t="shared" ref="C11:F11" si="0">C10/C9</f>
        <v>0.18330118932819031</v>
      </c>
      <c r="D11" s="37">
        <f t="shared" si="0"/>
        <v>0.16095563682620448</v>
      </c>
      <c r="E11" s="37">
        <f t="shared" si="0"/>
        <v>0.15970769133219198</v>
      </c>
      <c r="F11" s="37">
        <f t="shared" si="0"/>
        <v>0.12429324503627909</v>
      </c>
      <c r="G11" s="37">
        <f>G10/G9</f>
        <v>5.3495529825589923E-2</v>
      </c>
    </row>
    <row r="12" spans="1:8" s="40" customFormat="1" x14ac:dyDescent="0.2">
      <c r="A12" s="255" t="s">
        <v>666</v>
      </c>
      <c r="B12" s="40">
        <v>58</v>
      </c>
      <c r="C12" s="40">
        <v>53.01</v>
      </c>
      <c r="D12" s="40">
        <v>69.87</v>
      </c>
      <c r="E12" s="40">
        <v>90.41</v>
      </c>
      <c r="F12" s="40">
        <v>97.76</v>
      </c>
      <c r="G12" s="256">
        <v>18.11</v>
      </c>
      <c r="H12" s="260"/>
    </row>
    <row r="13" spans="1:8" s="37" customFormat="1" x14ac:dyDescent="0.2">
      <c r="A13" s="185" t="s">
        <v>667</v>
      </c>
      <c r="B13" s="37">
        <f>B12/B9</f>
        <v>0.10482748648990585</v>
      </c>
      <c r="C13" s="37">
        <f t="shared" ref="C13:F13" si="1">C12/C9</f>
        <v>0.14199614271938282</v>
      </c>
      <c r="D13" s="37">
        <f t="shared" si="1"/>
        <v>0.13887342979806011</v>
      </c>
      <c r="E13" s="37">
        <f t="shared" si="1"/>
        <v>0.14331684737809902</v>
      </c>
      <c r="F13" s="37">
        <f t="shared" si="1"/>
        <v>0.11685812305007351</v>
      </c>
      <c r="G13" s="37">
        <f>G12/G9</f>
        <v>5.3085153158434706E-2</v>
      </c>
    </row>
    <row r="14" spans="1:8" x14ac:dyDescent="0.2">
      <c r="A14" s="41" t="s">
        <v>375</v>
      </c>
      <c r="B14" s="37">
        <v>0.2873</v>
      </c>
      <c r="C14" s="37">
        <v>0.33960000000000001</v>
      </c>
      <c r="D14" s="37">
        <v>0.43080000000000002</v>
      </c>
      <c r="E14" s="37">
        <v>0.41260000000000002</v>
      </c>
      <c r="F14" s="37">
        <v>0.33600000000000002</v>
      </c>
      <c r="G14" s="252">
        <v>0.14249999999999999</v>
      </c>
    </row>
    <row r="15" spans="1:8" x14ac:dyDescent="0.2">
      <c r="B15" s="38"/>
      <c r="C15" s="38"/>
      <c r="D15" s="38"/>
      <c r="E15" s="38"/>
    </row>
    <row r="16" spans="1:8" x14ac:dyDescent="0.2">
      <c r="A16" s="41" t="s">
        <v>350</v>
      </c>
      <c r="B16" s="36">
        <v>1006.3</v>
      </c>
      <c r="C16" s="36">
        <v>1408.1</v>
      </c>
      <c r="D16" s="36">
        <v>1623.3</v>
      </c>
      <c r="E16" s="36">
        <v>2106</v>
      </c>
      <c r="F16" s="36">
        <v>2426.8000000000002</v>
      </c>
      <c r="G16" s="42">
        <v>1628.3</v>
      </c>
      <c r="H16" s="36" t="s">
        <v>677</v>
      </c>
    </row>
    <row r="17" spans="1:8" x14ac:dyDescent="0.2">
      <c r="A17" s="41" t="s">
        <v>352</v>
      </c>
      <c r="B17" s="36">
        <v>658.2</v>
      </c>
      <c r="C17" s="36">
        <v>766.7</v>
      </c>
      <c r="D17" s="36">
        <v>877.8</v>
      </c>
      <c r="E17" s="36">
        <v>1079</v>
      </c>
      <c r="F17" s="36">
        <v>1194.8</v>
      </c>
      <c r="G17" s="42">
        <v>753</v>
      </c>
      <c r="H17" s="36" t="s">
        <v>676</v>
      </c>
    </row>
    <row r="18" spans="1:8" s="39" customFormat="1" x14ac:dyDescent="0.2">
      <c r="A18" s="253" t="s">
        <v>406</v>
      </c>
      <c r="B18" s="39">
        <f>B16/B17*10000</f>
        <v>15288.666058948646</v>
      </c>
      <c r="C18" s="39">
        <f t="shared" ref="C18:E18" si="2">C16/C17*10000</f>
        <v>18365.723229424806</v>
      </c>
      <c r="D18" s="39">
        <f t="shared" si="2"/>
        <v>18492.822966507178</v>
      </c>
      <c r="E18" s="39">
        <f t="shared" si="2"/>
        <v>19518.072289156626</v>
      </c>
      <c r="F18" s="39">
        <f>F16/F17*10000</f>
        <v>20311.349179779045</v>
      </c>
      <c r="G18" s="39">
        <f>G16/G17*10000</f>
        <v>21624.169986719789</v>
      </c>
    </row>
    <row r="19" spans="1:8" s="38" customFormat="1" x14ac:dyDescent="0.2">
      <c r="A19" s="257" t="s">
        <v>679</v>
      </c>
      <c r="B19" s="38">
        <v>274.86</v>
      </c>
      <c r="C19" s="38">
        <v>579.48</v>
      </c>
      <c r="D19" s="38">
        <v>697.47</v>
      </c>
      <c r="E19" s="38">
        <v>839.71</v>
      </c>
      <c r="F19" s="38">
        <v>946.79</v>
      </c>
      <c r="G19" s="38">
        <v>1156.3</v>
      </c>
    </row>
    <row r="20" spans="1:8" s="39" customFormat="1" x14ac:dyDescent="0.2">
      <c r="A20" s="253"/>
      <c r="G20" s="254"/>
    </row>
    <row r="21" spans="1:8" x14ac:dyDescent="0.2">
      <c r="A21" s="41" t="s">
        <v>290</v>
      </c>
      <c r="B21" s="36">
        <v>533</v>
      </c>
      <c r="C21" s="36">
        <v>1305</v>
      </c>
      <c r="D21" s="36">
        <v>1072</v>
      </c>
      <c r="E21" s="36">
        <v>1688</v>
      </c>
      <c r="F21" s="36">
        <v>1657</v>
      </c>
      <c r="G21" s="42">
        <v>1247</v>
      </c>
    </row>
    <row r="22" spans="1:8" x14ac:dyDescent="0.2">
      <c r="A22" s="41" t="s">
        <v>382</v>
      </c>
      <c r="B22" s="36">
        <v>237</v>
      </c>
      <c r="C22" s="36">
        <v>595</v>
      </c>
      <c r="D22" s="36">
        <v>481</v>
      </c>
      <c r="E22" s="36">
        <v>886</v>
      </c>
      <c r="F22" s="36">
        <v>813</v>
      </c>
      <c r="G22" s="42">
        <v>531</v>
      </c>
    </row>
    <row r="23" spans="1:8" s="39" customFormat="1" x14ac:dyDescent="0.2">
      <c r="A23" s="253" t="s">
        <v>407</v>
      </c>
      <c r="B23" s="39">
        <f t="shared" ref="B23:G23" si="3">B25/B21*10000</f>
        <v>7485.9287054409006</v>
      </c>
      <c r="C23" s="39">
        <f t="shared" si="3"/>
        <v>7693.4865900383138</v>
      </c>
      <c r="D23" s="39">
        <f t="shared" si="3"/>
        <v>9328.3582089552237</v>
      </c>
      <c r="E23" s="39">
        <f t="shared" si="3"/>
        <v>7109.004739336493</v>
      </c>
      <c r="F23" s="39">
        <f t="shared" si="3"/>
        <v>8147.2540736270375</v>
      </c>
      <c r="G23" s="39">
        <f t="shared" si="3"/>
        <v>7409.7834803528476</v>
      </c>
    </row>
    <row r="24" spans="1:8" x14ac:dyDescent="0.2">
      <c r="A24" s="41" t="s">
        <v>200</v>
      </c>
      <c r="B24" s="36">
        <v>33</v>
      </c>
      <c r="C24" s="36">
        <v>94</v>
      </c>
      <c r="D24" s="36">
        <v>91</v>
      </c>
      <c r="E24" s="36">
        <v>113</v>
      </c>
      <c r="F24" s="36">
        <v>116</v>
      </c>
      <c r="G24" s="42">
        <v>81</v>
      </c>
    </row>
    <row r="25" spans="1:8" x14ac:dyDescent="0.2">
      <c r="A25" s="41" t="s">
        <v>372</v>
      </c>
      <c r="B25" s="36">
        <v>399</v>
      </c>
      <c r="C25" s="36">
        <v>1004</v>
      </c>
      <c r="D25" s="36">
        <v>1000</v>
      </c>
      <c r="E25" s="36">
        <v>1200</v>
      </c>
      <c r="F25" s="36">
        <v>1350</v>
      </c>
      <c r="G25" s="42">
        <v>924</v>
      </c>
    </row>
    <row r="26" spans="1:8" x14ac:dyDescent="0.2">
      <c r="A26" s="41" t="s">
        <v>383</v>
      </c>
      <c r="B26" s="36">
        <v>168</v>
      </c>
      <c r="C26" s="36">
        <v>473</v>
      </c>
      <c r="D26" s="36">
        <v>404</v>
      </c>
      <c r="E26" s="36">
        <v>558</v>
      </c>
      <c r="F26" s="36">
        <v>697</v>
      </c>
      <c r="G26" s="42">
        <v>411</v>
      </c>
    </row>
    <row r="28" spans="1:8" x14ac:dyDescent="0.2">
      <c r="A28" s="41" t="s">
        <v>374</v>
      </c>
      <c r="B28" s="36">
        <v>2950</v>
      </c>
      <c r="C28" s="36">
        <v>3770</v>
      </c>
      <c r="D28" s="36">
        <v>4400</v>
      </c>
      <c r="E28" s="36">
        <v>5233</v>
      </c>
      <c r="F28" s="36">
        <v>6036</v>
      </c>
      <c r="G28" s="42">
        <v>6729</v>
      </c>
    </row>
    <row r="29" spans="1:8" x14ac:dyDescent="0.2">
      <c r="A29" s="41" t="s">
        <v>373</v>
      </c>
      <c r="B29" s="36">
        <v>1500</v>
      </c>
      <c r="C29" s="36">
        <v>1930</v>
      </c>
      <c r="D29" s="36">
        <v>2300</v>
      </c>
      <c r="E29" s="36">
        <v>2802</v>
      </c>
      <c r="F29" s="36">
        <v>3203</v>
      </c>
      <c r="G29" s="42">
        <v>3515</v>
      </c>
      <c r="H29" s="43"/>
    </row>
    <row r="31" spans="1:8" x14ac:dyDescent="0.2">
      <c r="A31" s="41" t="s">
        <v>380</v>
      </c>
      <c r="B31" s="39">
        <v>670</v>
      </c>
      <c r="C31" s="39">
        <v>870</v>
      </c>
      <c r="D31" s="39">
        <v>1555</v>
      </c>
      <c r="E31" s="39">
        <v>1631</v>
      </c>
      <c r="F31" s="36">
        <v>1582</v>
      </c>
      <c r="G31" s="42">
        <v>821</v>
      </c>
      <c r="H31" s="36" t="s">
        <v>671</v>
      </c>
    </row>
    <row r="32" spans="1:8" x14ac:dyDescent="0.2">
      <c r="A32" s="41" t="s">
        <v>381</v>
      </c>
      <c r="B32" s="39">
        <v>640</v>
      </c>
      <c r="C32" s="39">
        <v>670</v>
      </c>
      <c r="D32" s="39">
        <v>672</v>
      </c>
      <c r="E32" s="39">
        <v>925</v>
      </c>
      <c r="F32" s="36">
        <v>1103</v>
      </c>
      <c r="G32" s="42">
        <v>354</v>
      </c>
      <c r="H32" s="36" t="s">
        <v>672</v>
      </c>
    </row>
    <row r="34" spans="1:8" x14ac:dyDescent="0.2">
      <c r="A34" s="41" t="s">
        <v>378</v>
      </c>
      <c r="B34" s="36">
        <v>366.46</v>
      </c>
      <c r="C34" s="36">
        <v>553.54</v>
      </c>
      <c r="D34" s="36">
        <v>821.4</v>
      </c>
      <c r="E34" s="36">
        <v>947.58</v>
      </c>
      <c r="F34" s="36">
        <v>1130.01</v>
      </c>
      <c r="G34" s="42">
        <v>1270.94</v>
      </c>
    </row>
    <row r="35" spans="1:8" x14ac:dyDescent="0.2">
      <c r="A35" s="41" t="s">
        <v>371</v>
      </c>
      <c r="B35" s="37">
        <v>4.5199999999999997E-2</v>
      </c>
      <c r="C35" s="37">
        <v>4.5600000000000002E-2</v>
      </c>
      <c r="D35" s="37">
        <v>4.8300000000000003E-2</v>
      </c>
      <c r="E35" s="37">
        <v>4.99E-2</v>
      </c>
      <c r="F35" s="37">
        <v>4.7399999999999998E-2</v>
      </c>
      <c r="G35" s="252">
        <v>4.65E-2</v>
      </c>
    </row>
    <row r="36" spans="1:8" s="38" customFormat="1" x14ac:dyDescent="0.2">
      <c r="A36" s="257" t="s">
        <v>668</v>
      </c>
      <c r="B36" s="38">
        <v>81.08</v>
      </c>
      <c r="C36" s="38">
        <v>134.1</v>
      </c>
      <c r="D36" s="38">
        <v>109.12</v>
      </c>
      <c r="E36" s="38">
        <v>361.06</v>
      </c>
      <c r="F36" s="38">
        <v>422.79</v>
      </c>
      <c r="G36" s="258">
        <v>398.96</v>
      </c>
    </row>
    <row r="37" spans="1:8" x14ac:dyDescent="0.2">
      <c r="A37" s="41" t="s">
        <v>38</v>
      </c>
      <c r="B37" s="38">
        <v>21.09</v>
      </c>
      <c r="C37" s="38">
        <v>22.71</v>
      </c>
      <c r="D37" s="38">
        <v>36.51</v>
      </c>
      <c r="E37" s="38">
        <v>48.7</v>
      </c>
      <c r="F37" s="36">
        <v>57.48</v>
      </c>
      <c r="G37" s="42">
        <f>G38+G39</f>
        <v>31.1</v>
      </c>
    </row>
    <row r="38" spans="1:8" x14ac:dyDescent="0.2">
      <c r="A38" s="41" t="s">
        <v>379</v>
      </c>
      <c r="B38" s="38">
        <v>13.82</v>
      </c>
      <c r="C38" s="38">
        <v>10.9</v>
      </c>
      <c r="D38" s="38">
        <v>19.54</v>
      </c>
      <c r="E38" s="38">
        <v>20.49</v>
      </c>
      <c r="F38" s="36">
        <v>27.77</v>
      </c>
      <c r="G38" s="42">
        <v>14.05</v>
      </c>
    </row>
    <row r="39" spans="1:8" x14ac:dyDescent="0.2">
      <c r="A39" s="41" t="s">
        <v>405</v>
      </c>
      <c r="B39" s="38">
        <v>7.27</v>
      </c>
      <c r="C39" s="38">
        <v>11.82</v>
      </c>
      <c r="D39" s="38">
        <v>16.98</v>
      </c>
      <c r="E39" s="38">
        <v>28.22</v>
      </c>
      <c r="F39" s="36">
        <v>29.72</v>
      </c>
      <c r="G39" s="42">
        <v>17.05</v>
      </c>
    </row>
    <row r="40" spans="1:8" x14ac:dyDescent="0.2">
      <c r="A40" s="41" t="s">
        <v>399</v>
      </c>
      <c r="B40" s="36">
        <v>21.09</v>
      </c>
      <c r="C40" s="36">
        <v>22.72</v>
      </c>
      <c r="D40" s="36">
        <v>36.51</v>
      </c>
      <c r="E40" s="36">
        <v>48.7</v>
      </c>
      <c r="F40" s="36">
        <v>57.49</v>
      </c>
      <c r="G40" s="42">
        <v>31.11</v>
      </c>
    </row>
    <row r="41" spans="1:8" x14ac:dyDescent="0.2">
      <c r="A41" s="41" t="s">
        <v>410</v>
      </c>
      <c r="C41" s="36">
        <v>11.81</v>
      </c>
      <c r="D41" s="36">
        <v>16.97</v>
      </c>
      <c r="E41" s="36">
        <v>28.22</v>
      </c>
      <c r="F41" s="36">
        <v>29.72</v>
      </c>
      <c r="G41" s="42">
        <v>17.05</v>
      </c>
    </row>
    <row r="43" spans="1:8" x14ac:dyDescent="0.2">
      <c r="A43" s="41" t="s">
        <v>58</v>
      </c>
      <c r="B43" s="38">
        <v>11.77</v>
      </c>
      <c r="C43" s="38">
        <v>12.43</v>
      </c>
      <c r="D43" s="38">
        <v>14.17</v>
      </c>
      <c r="E43" s="38">
        <v>21.1</v>
      </c>
      <c r="F43" s="36">
        <v>21.36</v>
      </c>
      <c r="G43" s="42">
        <v>10.5</v>
      </c>
      <c r="H43" s="36" t="s">
        <v>674</v>
      </c>
    </row>
    <row r="44" spans="1:8" x14ac:dyDescent="0.2">
      <c r="A44" s="41" t="s">
        <v>59</v>
      </c>
      <c r="B44" s="38">
        <v>15.91</v>
      </c>
      <c r="C44" s="38">
        <v>26.25</v>
      </c>
      <c r="D44" s="38">
        <v>32.67</v>
      </c>
      <c r="E44" s="38">
        <v>39.58</v>
      </c>
      <c r="F44" s="36">
        <v>42.71</v>
      </c>
      <c r="G44" s="42">
        <v>23.52</v>
      </c>
      <c r="H44" s="36" t="s">
        <v>675</v>
      </c>
    </row>
    <row r="46" spans="1:8" s="40" customFormat="1" x14ac:dyDescent="0.2">
      <c r="A46" s="255" t="s">
        <v>662</v>
      </c>
      <c r="F46" s="256">
        <v>1.21</v>
      </c>
      <c r="G46" s="256">
        <v>1.19</v>
      </c>
    </row>
    <row r="47" spans="1:8" x14ac:dyDescent="0.2">
      <c r="A47" s="41" t="s">
        <v>268</v>
      </c>
      <c r="B47" s="37">
        <v>0.57899999999999996</v>
      </c>
      <c r="C47" s="37">
        <v>0.61360000000000003</v>
      </c>
      <c r="D47" s="37">
        <v>0.68130000000000002</v>
      </c>
      <c r="E47" s="37">
        <v>0.67159999999999997</v>
      </c>
      <c r="F47" s="37">
        <v>0.68510000000000004</v>
      </c>
      <c r="G47" s="252">
        <v>0.69440000000000002</v>
      </c>
    </row>
    <row r="48" spans="1:8" x14ac:dyDescent="0.2">
      <c r="A48" s="41" t="s">
        <v>17</v>
      </c>
      <c r="B48" s="37">
        <v>0.28399999999999997</v>
      </c>
      <c r="C48" s="37">
        <v>0.48220000000000002</v>
      </c>
      <c r="D48" s="37">
        <v>0.5736</v>
      </c>
      <c r="E48" s="37">
        <v>0.60240000000000005</v>
      </c>
      <c r="F48" s="37">
        <v>0.62529999999999997</v>
      </c>
      <c r="G48" s="252">
        <v>0.69589999999999996</v>
      </c>
    </row>
    <row r="49" spans="1:7" x14ac:dyDescent="0.2">
      <c r="A49" s="41" t="s">
        <v>669</v>
      </c>
      <c r="F49" s="37"/>
      <c r="G49" s="252">
        <v>0.78129999999999999</v>
      </c>
    </row>
    <row r="51" spans="1:7" x14ac:dyDescent="0.2">
      <c r="A51" s="41" t="s">
        <v>345</v>
      </c>
    </row>
    <row r="52" spans="1:7" x14ac:dyDescent="0.2">
      <c r="A52" s="41" t="s">
        <v>346</v>
      </c>
      <c r="C52" s="42" t="s">
        <v>376</v>
      </c>
      <c r="D52" s="42" t="s">
        <v>376</v>
      </c>
      <c r="E52" s="42" t="s">
        <v>376</v>
      </c>
      <c r="F52" s="42" t="s">
        <v>376</v>
      </c>
    </row>
    <row r="53" spans="1:7" x14ac:dyDescent="0.2">
      <c r="A53" s="41" t="s">
        <v>169</v>
      </c>
      <c r="C53" s="42" t="s">
        <v>377</v>
      </c>
      <c r="D53" s="42" t="s">
        <v>377</v>
      </c>
      <c r="E53" s="42" t="s">
        <v>377</v>
      </c>
      <c r="F53" s="42" t="s">
        <v>377</v>
      </c>
    </row>
  </sheetData>
  <phoneticPr fontId="1" type="noConversion"/>
  <conditionalFormatting sqref="A11:XFD11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AD63-B4BF-4910-BFC9-F631A368FC8E}">
  <dimension ref="A1:G44"/>
  <sheetViews>
    <sheetView topLeftCell="A8" workbookViewId="0">
      <selection activeCell="F39" sqref="F39:F40"/>
    </sheetView>
  </sheetViews>
  <sheetFormatPr defaultRowHeight="14.25" x14ac:dyDescent="0.2"/>
  <cols>
    <col min="1" max="1" width="22.75" style="1" customWidth="1"/>
    <col min="2" max="6" width="9" style="2"/>
    <col min="7" max="7" width="13.5" style="2" customWidth="1"/>
    <col min="8" max="16384" width="9" style="2"/>
  </cols>
  <sheetData>
    <row r="1" spans="1:7" s="15" customFormat="1" x14ac:dyDescent="0.2">
      <c r="A1" s="14" t="s">
        <v>264</v>
      </c>
      <c r="B1" s="15" t="s">
        <v>4</v>
      </c>
      <c r="C1" s="15" t="s">
        <v>3</v>
      </c>
      <c r="D1" s="15" t="s">
        <v>71</v>
      </c>
      <c r="E1" s="15" t="s">
        <v>72</v>
      </c>
      <c r="F1" s="15" t="s">
        <v>660</v>
      </c>
    </row>
    <row r="2" spans="1:7" x14ac:dyDescent="0.2">
      <c r="A2" s="1" t="s">
        <v>269</v>
      </c>
      <c r="B2" s="2">
        <v>438.02</v>
      </c>
      <c r="C2" s="2">
        <v>568.36</v>
      </c>
      <c r="D2" s="2">
        <v>830.73</v>
      </c>
      <c r="E2" s="2">
        <v>1256.27</v>
      </c>
      <c r="F2" s="2">
        <v>1283.8800000000001</v>
      </c>
    </row>
    <row r="3" spans="1:7" x14ac:dyDescent="0.2">
      <c r="A3" s="1" t="s">
        <v>661</v>
      </c>
      <c r="B3" s="2">
        <v>75.48</v>
      </c>
      <c r="C3" s="2">
        <v>107.44</v>
      </c>
      <c r="D3" s="2">
        <v>282.31</v>
      </c>
      <c r="E3" s="2">
        <v>522.03</v>
      </c>
      <c r="F3" s="2">
        <v>799.44</v>
      </c>
    </row>
    <row r="4" spans="1:7" x14ac:dyDescent="0.2">
      <c r="A4" s="1" t="s">
        <v>684</v>
      </c>
      <c r="B4" s="2">
        <v>967.2</v>
      </c>
      <c r="C4" s="2">
        <v>1202</v>
      </c>
      <c r="D4" s="2">
        <v>1257.3</v>
      </c>
      <c r="E4" s="2">
        <f>339.36+987.11</f>
        <v>1326.47</v>
      </c>
      <c r="F4" s="2">
        <v>1231.9000000000001</v>
      </c>
    </row>
    <row r="5" spans="1:7" x14ac:dyDescent="0.2">
      <c r="A5" s="1" t="s">
        <v>687</v>
      </c>
      <c r="B5" s="2">
        <v>282.86</v>
      </c>
      <c r="C5" s="2">
        <v>440.17</v>
      </c>
      <c r="D5" s="2">
        <v>477.87</v>
      </c>
      <c r="E5" s="2">
        <v>339.36</v>
      </c>
      <c r="F5" s="2">
        <v>220.88</v>
      </c>
    </row>
    <row r="6" spans="1:7" x14ac:dyDescent="0.2">
      <c r="A6" s="1" t="s">
        <v>210</v>
      </c>
      <c r="B6" s="2">
        <v>22</v>
      </c>
      <c r="C6" s="2">
        <v>36.450000000000003</v>
      </c>
      <c r="D6" s="2">
        <v>57.26</v>
      </c>
      <c r="E6" s="2">
        <v>76.94</v>
      </c>
    </row>
    <row r="8" spans="1:7" x14ac:dyDescent="0.2">
      <c r="A8" s="1" t="s">
        <v>680</v>
      </c>
      <c r="B8" s="2">
        <v>658.74</v>
      </c>
      <c r="C8" s="2">
        <v>1247.46</v>
      </c>
      <c r="D8" s="2">
        <v>1693.16</v>
      </c>
      <c r="E8" s="2">
        <v>2305.87</v>
      </c>
      <c r="F8" s="2">
        <v>958.2</v>
      </c>
      <c r="G8" s="2" t="s">
        <v>688</v>
      </c>
    </row>
    <row r="9" spans="1:7" x14ac:dyDescent="0.2">
      <c r="A9" s="1" t="s">
        <v>276</v>
      </c>
      <c r="B9" s="3">
        <v>0.224</v>
      </c>
      <c r="C9" s="3">
        <v>0.25900000000000001</v>
      </c>
      <c r="D9" s="3">
        <v>0.251</v>
      </c>
      <c r="E9" s="3">
        <v>0.193</v>
      </c>
      <c r="F9" s="3">
        <v>0.19600000000000001</v>
      </c>
    </row>
    <row r="10" spans="1:7" x14ac:dyDescent="0.2">
      <c r="A10" s="1" t="s">
        <v>266</v>
      </c>
      <c r="B10" s="2">
        <v>116.6</v>
      </c>
      <c r="C10" s="2">
        <v>174.5</v>
      </c>
      <c r="D10" s="2">
        <v>260.3</v>
      </c>
      <c r="E10" s="2">
        <v>356.4</v>
      </c>
      <c r="F10" s="2">
        <v>119.9</v>
      </c>
      <c r="G10" s="2" t="s">
        <v>683</v>
      </c>
    </row>
    <row r="11" spans="1:7" s="3" customFormat="1" x14ac:dyDescent="0.2">
      <c r="A11" s="145" t="s">
        <v>681</v>
      </c>
      <c r="B11" s="3">
        <f>B10/B8</f>
        <v>0.17700458450982176</v>
      </c>
      <c r="C11" s="3">
        <f t="shared" ref="C11:F11" si="0">C10/C8</f>
        <v>0.13988424478540393</v>
      </c>
      <c r="D11" s="3">
        <f t="shared" si="0"/>
        <v>0.15373620921826645</v>
      </c>
      <c r="E11" s="3">
        <f t="shared" si="0"/>
        <v>0.15456205250079147</v>
      </c>
      <c r="F11" s="3">
        <f t="shared" si="0"/>
        <v>0.12513045293258193</v>
      </c>
    </row>
    <row r="13" spans="1:7" x14ac:dyDescent="0.2">
      <c r="A13" s="1" t="s">
        <v>265</v>
      </c>
      <c r="B13" s="18">
        <f>C13/1.273</f>
        <v>3620.0314218381777</v>
      </c>
      <c r="C13" s="2">
        <v>4608.3</v>
      </c>
      <c r="D13" s="2">
        <v>5562.1</v>
      </c>
      <c r="E13" s="2">
        <v>5752.6</v>
      </c>
      <c r="F13" s="2">
        <v>3207.6</v>
      </c>
      <c r="G13" s="2" t="s">
        <v>682</v>
      </c>
    </row>
    <row r="14" spans="1:7" x14ac:dyDescent="0.2">
      <c r="A14" s="1" t="s">
        <v>227</v>
      </c>
      <c r="B14" s="18">
        <v>2203.3000000000002</v>
      </c>
      <c r="C14" s="34">
        <v>3020</v>
      </c>
      <c r="D14" s="34">
        <v>3616</v>
      </c>
      <c r="E14" s="34">
        <v>3937</v>
      </c>
      <c r="F14" s="262">
        <v>2097</v>
      </c>
    </row>
    <row r="15" spans="1:7" x14ac:dyDescent="0.2">
      <c r="A15" s="1" t="s">
        <v>235</v>
      </c>
      <c r="B15" s="18">
        <f>B13/B14*10000</f>
        <v>16430.043216258236</v>
      </c>
      <c r="C15" s="18">
        <f t="shared" ref="C15:D15" si="1">C13/C14*10000</f>
        <v>15259.271523178808</v>
      </c>
      <c r="D15" s="18">
        <f t="shared" si="1"/>
        <v>15381.913716814159</v>
      </c>
      <c r="E15" s="18">
        <f>E13/E14*10000</f>
        <v>14611.633223266446</v>
      </c>
      <c r="F15" s="18">
        <f>F13/F14*10000</f>
        <v>15296.137339055793</v>
      </c>
    </row>
    <row r="16" spans="1:7" x14ac:dyDescent="0.2">
      <c r="A16" s="1" t="s">
        <v>679</v>
      </c>
      <c r="B16" s="18">
        <v>1311.91</v>
      </c>
      <c r="C16" s="18">
        <v>1993.79</v>
      </c>
      <c r="D16" s="18">
        <v>2408.1799999999998</v>
      </c>
      <c r="E16" s="18">
        <v>2737.6</v>
      </c>
      <c r="F16" s="2">
        <v>3197.33</v>
      </c>
    </row>
    <row r="17" spans="1:7" x14ac:dyDescent="0.2">
      <c r="B17" s="18"/>
      <c r="C17" s="18"/>
      <c r="D17" s="18"/>
      <c r="E17" s="18"/>
    </row>
    <row r="18" spans="1:7" x14ac:dyDescent="0.2">
      <c r="A18" s="1" t="s">
        <v>270</v>
      </c>
      <c r="B18" s="2">
        <v>2192.6999999999998</v>
      </c>
      <c r="C18" s="2">
        <v>2294.1</v>
      </c>
      <c r="D18" s="2">
        <v>3222.74</v>
      </c>
      <c r="E18" s="2">
        <v>3034.38</v>
      </c>
      <c r="F18" s="2">
        <v>3035.31</v>
      </c>
    </row>
    <row r="19" spans="1:7" x14ac:dyDescent="0.2">
      <c r="A19" s="1" t="s">
        <v>161</v>
      </c>
      <c r="B19" s="2">
        <v>786.72</v>
      </c>
      <c r="C19" s="2">
        <v>920.45</v>
      </c>
      <c r="D19" s="2">
        <v>1357.32</v>
      </c>
      <c r="E19" s="2">
        <v>916.07</v>
      </c>
      <c r="F19" s="2">
        <v>909.62</v>
      </c>
    </row>
    <row r="20" spans="1:7" x14ac:dyDescent="0.2">
      <c r="A20" s="1" t="s">
        <v>162</v>
      </c>
      <c r="B20" s="2">
        <v>1405.97</v>
      </c>
      <c r="C20" s="2">
        <v>1373.63</v>
      </c>
      <c r="D20" s="2">
        <v>1865.52</v>
      </c>
      <c r="E20" s="2">
        <v>2118.31</v>
      </c>
      <c r="F20" s="2">
        <v>2125.6799999999998</v>
      </c>
    </row>
    <row r="21" spans="1:7" x14ac:dyDescent="0.2">
      <c r="A21" s="1" t="s">
        <v>271</v>
      </c>
      <c r="B21" s="2">
        <v>110.9</v>
      </c>
      <c r="C21" s="2">
        <v>146.22999999999999</v>
      </c>
      <c r="D21" s="2">
        <v>259.55</v>
      </c>
      <c r="E21" s="2">
        <v>288.98</v>
      </c>
      <c r="F21" s="2">
        <v>130.56</v>
      </c>
      <c r="G21" s="2" t="s">
        <v>691</v>
      </c>
    </row>
    <row r="22" spans="1:7" x14ac:dyDescent="0.2">
      <c r="A22" s="1" t="s">
        <v>39</v>
      </c>
      <c r="B22" s="2">
        <v>57.48</v>
      </c>
      <c r="C22" s="2">
        <v>129.36000000000001</v>
      </c>
      <c r="D22" s="2">
        <v>220.87</v>
      </c>
      <c r="E22" s="2">
        <v>278.01</v>
      </c>
      <c r="F22" s="2">
        <v>123.85</v>
      </c>
    </row>
    <row r="23" spans="1:7" x14ac:dyDescent="0.2">
      <c r="A23" s="1" t="s">
        <v>277</v>
      </c>
      <c r="B23" s="3">
        <v>6.2399999999999997E-2</v>
      </c>
      <c r="C23" s="3">
        <v>6.8099999999999994E-2</v>
      </c>
      <c r="D23" s="3">
        <v>8.5599999999999996E-2</v>
      </c>
    </row>
    <row r="25" spans="1:7" x14ac:dyDescent="0.2">
      <c r="A25" s="1" t="s">
        <v>272</v>
      </c>
      <c r="B25" s="2">
        <v>6764.2</v>
      </c>
      <c r="C25" s="2">
        <v>4820</v>
      </c>
      <c r="D25" s="2">
        <v>9970</v>
      </c>
      <c r="E25" s="2">
        <v>5877</v>
      </c>
    </row>
    <row r="26" spans="1:7" x14ac:dyDescent="0.2">
      <c r="A26" s="1" t="s">
        <v>279</v>
      </c>
      <c r="B26" s="2">
        <v>5252.5</v>
      </c>
      <c r="C26" s="2">
        <v>2631</v>
      </c>
      <c r="D26" s="2">
        <v>5558</v>
      </c>
      <c r="E26" s="2">
        <v>3267</v>
      </c>
      <c r="F26" s="2">
        <v>1708</v>
      </c>
    </row>
    <row r="27" spans="1:7" x14ac:dyDescent="0.2">
      <c r="A27" s="1" t="s">
        <v>280</v>
      </c>
      <c r="C27" s="2">
        <v>3723</v>
      </c>
    </row>
    <row r="28" spans="1:7" x14ac:dyDescent="0.2">
      <c r="A28" s="1" t="s">
        <v>273</v>
      </c>
      <c r="E28" s="2">
        <v>7261</v>
      </c>
    </row>
    <row r="29" spans="1:7" x14ac:dyDescent="0.2">
      <c r="A29" s="1" t="s">
        <v>689</v>
      </c>
      <c r="F29" s="2">
        <v>2135</v>
      </c>
    </row>
    <row r="31" spans="1:7" x14ac:dyDescent="0.2">
      <c r="A31" s="1" t="s">
        <v>278</v>
      </c>
      <c r="B31" s="2">
        <v>340</v>
      </c>
      <c r="C31" s="2">
        <v>459</v>
      </c>
      <c r="D31" s="2">
        <v>695</v>
      </c>
    </row>
    <row r="32" spans="1:7" x14ac:dyDescent="0.2">
      <c r="A32" s="1" t="s">
        <v>283</v>
      </c>
      <c r="B32" s="2">
        <v>14200</v>
      </c>
      <c r="C32" s="2">
        <v>16600</v>
      </c>
      <c r="D32" s="2">
        <v>23400</v>
      </c>
      <c r="E32" s="2">
        <v>25800</v>
      </c>
      <c r="F32" s="2">
        <v>27800</v>
      </c>
    </row>
    <row r="33" spans="1:7" x14ac:dyDescent="0.2">
      <c r="A33" s="1" t="s">
        <v>275</v>
      </c>
      <c r="B33" s="2">
        <v>10700</v>
      </c>
      <c r="C33" s="2">
        <v>11300</v>
      </c>
      <c r="D33" s="2">
        <v>15000</v>
      </c>
      <c r="E33" s="2">
        <v>16100</v>
      </c>
      <c r="F33" s="2">
        <v>16400</v>
      </c>
    </row>
    <row r="34" spans="1:7" x14ac:dyDescent="0.2">
      <c r="A34" s="1" t="s">
        <v>282</v>
      </c>
      <c r="D34" s="2">
        <v>30700</v>
      </c>
      <c r="E34" s="2">
        <v>31000</v>
      </c>
    </row>
    <row r="35" spans="1:7" x14ac:dyDescent="0.2">
      <c r="A35" s="1" t="s">
        <v>690</v>
      </c>
      <c r="F35" s="2">
        <v>20000</v>
      </c>
    </row>
    <row r="36" spans="1:7" x14ac:dyDescent="0.2">
      <c r="A36" s="1" t="s">
        <v>274</v>
      </c>
      <c r="D36" s="2">
        <v>4306</v>
      </c>
      <c r="E36" s="2">
        <v>4270</v>
      </c>
    </row>
    <row r="37" spans="1:7" x14ac:dyDescent="0.2">
      <c r="A37" s="1" t="s">
        <v>281</v>
      </c>
      <c r="B37" s="2">
        <v>6745</v>
      </c>
      <c r="C37" s="2">
        <v>7800</v>
      </c>
      <c r="D37" s="2">
        <v>8200</v>
      </c>
      <c r="E37" s="2">
        <v>9000</v>
      </c>
      <c r="F37" s="2">
        <v>6600</v>
      </c>
    </row>
    <row r="39" spans="1:7" x14ac:dyDescent="0.2">
      <c r="A39" s="1" t="s">
        <v>58</v>
      </c>
      <c r="B39" s="2">
        <v>34.19</v>
      </c>
      <c r="C39" s="2">
        <v>43.6</v>
      </c>
      <c r="D39" s="2">
        <v>61.66</v>
      </c>
      <c r="E39" s="2">
        <v>80.44</v>
      </c>
      <c r="F39" s="2">
        <v>38.18</v>
      </c>
      <c r="G39" s="2" t="s">
        <v>685</v>
      </c>
    </row>
    <row r="40" spans="1:7" x14ac:dyDescent="0.2">
      <c r="A40" s="1" t="s">
        <v>59</v>
      </c>
      <c r="B40" s="2">
        <v>35.35</v>
      </c>
      <c r="C40" s="2">
        <v>73.56</v>
      </c>
      <c r="D40" s="2">
        <v>82.86</v>
      </c>
      <c r="E40" s="2">
        <v>84.74</v>
      </c>
      <c r="F40" s="2">
        <v>37.49</v>
      </c>
      <c r="G40" s="2" t="s">
        <v>686</v>
      </c>
    </row>
    <row r="42" spans="1:7" x14ac:dyDescent="0.2">
      <c r="A42" s="1" t="s">
        <v>17</v>
      </c>
      <c r="D42" s="17">
        <f>E42+76.3%</f>
        <v>1.7229999999999999</v>
      </c>
      <c r="E42" s="6">
        <v>0.96</v>
      </c>
      <c r="F42" s="3">
        <v>0.86599999999999999</v>
      </c>
    </row>
    <row r="43" spans="1:7" x14ac:dyDescent="0.2">
      <c r="A43" s="1" t="s">
        <v>267</v>
      </c>
      <c r="D43" s="2">
        <f>E43+0.51</f>
        <v>1.59</v>
      </c>
      <c r="E43" s="2">
        <v>1.08</v>
      </c>
      <c r="F43" s="2">
        <v>1.1100000000000001</v>
      </c>
    </row>
    <row r="44" spans="1:7" x14ac:dyDescent="0.2">
      <c r="A44" s="1" t="s">
        <v>268</v>
      </c>
      <c r="D44" s="17">
        <f>E44+5.6%</f>
        <v>0.83899999999999997</v>
      </c>
      <c r="E44" s="17">
        <v>0.78300000000000003</v>
      </c>
      <c r="F44" s="6">
        <v>0.76</v>
      </c>
    </row>
  </sheetData>
  <phoneticPr fontId="1" type="noConversion"/>
  <conditionalFormatting sqref="A25:XFD25">
    <cfRule type="colorScale" priority="4">
      <colorScale>
        <cfvo type="min"/>
        <cfvo type="max"/>
        <color rgb="FFFFEF9C"/>
        <color rgb="FF63BE7B"/>
      </colorScale>
    </cfRule>
  </conditionalFormatting>
  <conditionalFormatting sqref="A14:XFD14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03B44-6847-4955-8FB9-063AE0B0F0EE}">
  <dimension ref="A1:Q66"/>
  <sheetViews>
    <sheetView tabSelected="1" workbookViewId="0">
      <pane ySplit="1" topLeftCell="A2" activePane="bottomLeft" state="frozen"/>
      <selection pane="bottomLeft" activeCell="I27" sqref="I27"/>
    </sheetView>
  </sheetViews>
  <sheetFormatPr defaultRowHeight="14.25" x14ac:dyDescent="0.2"/>
  <cols>
    <col min="1" max="1" width="29.875" style="247" customWidth="1"/>
    <col min="2" max="2" width="10.375" style="88" customWidth="1"/>
    <col min="3" max="3" width="9.75" style="88" customWidth="1"/>
    <col min="4" max="4" width="10.25" style="88" customWidth="1"/>
    <col min="5" max="5" width="9.875" style="88" customWidth="1"/>
    <col min="6" max="6" width="9.125" style="88" customWidth="1"/>
    <col min="7" max="7" width="9" style="115"/>
    <col min="8" max="8" width="14.125" style="115" customWidth="1"/>
    <col min="9" max="9" width="10.5" style="115" customWidth="1"/>
    <col min="10" max="16384" width="9" style="115"/>
  </cols>
  <sheetData>
    <row r="1" spans="1:17" s="83" customFormat="1" ht="25.5" customHeight="1" x14ac:dyDescent="0.2">
      <c r="A1" s="83" t="s">
        <v>123</v>
      </c>
      <c r="B1" s="87" t="s">
        <v>68</v>
      </c>
      <c r="C1" s="87" t="s">
        <v>69</v>
      </c>
      <c r="D1" s="87" t="s">
        <v>70</v>
      </c>
      <c r="E1" s="87" t="s">
        <v>71</v>
      </c>
      <c r="F1" s="87" t="s">
        <v>72</v>
      </c>
      <c r="G1" s="87" t="s">
        <v>530</v>
      </c>
    </row>
    <row r="2" spans="1:17" ht="17.100000000000001" hidden="1" customHeight="1" x14ac:dyDescent="0.2">
      <c r="A2" s="135" t="s">
        <v>129</v>
      </c>
      <c r="B2" s="114">
        <v>137.88999999999999</v>
      </c>
      <c r="C2" s="114">
        <v>154.69999999999999</v>
      </c>
      <c r="D2" s="114">
        <v>173.98</v>
      </c>
      <c r="E2" s="114">
        <v>214.39</v>
      </c>
      <c r="F2" s="114">
        <v>287.01</v>
      </c>
      <c r="G2" s="131">
        <v>284.77999999999997</v>
      </c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7.100000000000001" hidden="1" customHeight="1" x14ac:dyDescent="0.2">
      <c r="A3" s="135" t="s">
        <v>592</v>
      </c>
      <c r="B3" s="114">
        <v>26.46</v>
      </c>
      <c r="C3" s="114">
        <v>25.46</v>
      </c>
      <c r="D3" s="114">
        <v>21.95</v>
      </c>
      <c r="E3" s="114">
        <v>53.83</v>
      </c>
      <c r="F3" s="114">
        <v>196.62</v>
      </c>
      <c r="G3" s="131">
        <v>237.75</v>
      </c>
      <c r="H3" s="131"/>
      <c r="I3" s="131"/>
      <c r="J3" s="131"/>
      <c r="K3" s="131"/>
      <c r="L3" s="131"/>
      <c r="M3" s="131"/>
      <c r="N3" s="131"/>
      <c r="O3" s="131"/>
      <c r="P3" s="131"/>
      <c r="Q3" s="131"/>
    </row>
    <row r="4" spans="1:17" s="118" customFormat="1" ht="17.100000000000001" hidden="1" customHeight="1" x14ac:dyDescent="0.2">
      <c r="A4" s="116" t="s">
        <v>432</v>
      </c>
      <c r="B4" s="117"/>
      <c r="C4" s="117"/>
      <c r="D4" s="117">
        <v>4.45</v>
      </c>
      <c r="E4" s="117">
        <v>10.53</v>
      </c>
      <c r="F4" s="117">
        <v>21.27</v>
      </c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</row>
    <row r="5" spans="1:17" ht="17.100000000000001" hidden="1" customHeight="1" x14ac:dyDescent="0.2">
      <c r="A5" s="135" t="s">
        <v>124</v>
      </c>
      <c r="B5" s="164"/>
      <c r="C5" s="175">
        <v>0.108</v>
      </c>
      <c r="D5" s="175">
        <v>0.20300000000000001</v>
      </c>
      <c r="E5" s="175">
        <v>0.253</v>
      </c>
      <c r="F5" s="164">
        <v>0.30049999999999999</v>
      </c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17" ht="17.100000000000001" hidden="1" customHeight="1" x14ac:dyDescent="0.2">
      <c r="A6" s="135" t="s">
        <v>557</v>
      </c>
      <c r="B6" s="114">
        <v>90.41</v>
      </c>
      <c r="C6" s="114">
        <v>142.69999999999999</v>
      </c>
      <c r="D6" s="114">
        <v>204.17</v>
      </c>
      <c r="E6" s="114">
        <v>254.1</v>
      </c>
      <c r="F6" s="114">
        <v>328.61</v>
      </c>
      <c r="G6" s="131">
        <v>269.7</v>
      </c>
      <c r="H6" s="131"/>
      <c r="I6" s="131"/>
      <c r="J6" s="131"/>
      <c r="K6" s="131"/>
      <c r="L6" s="131"/>
      <c r="M6" s="131"/>
      <c r="N6" s="131"/>
      <c r="O6" s="131"/>
      <c r="P6" s="131"/>
      <c r="Q6" s="131"/>
    </row>
    <row r="7" spans="1:17" ht="17.100000000000001" hidden="1" customHeight="1" x14ac:dyDescent="0.2">
      <c r="A7" s="135" t="s">
        <v>589</v>
      </c>
      <c r="B7" s="114">
        <v>17</v>
      </c>
      <c r="C7" s="114">
        <v>36.94</v>
      </c>
      <c r="D7" s="114">
        <v>71.06</v>
      </c>
      <c r="E7" s="114">
        <v>92.41</v>
      </c>
      <c r="F7" s="114">
        <v>84.46</v>
      </c>
      <c r="G7" s="131">
        <v>54.23</v>
      </c>
      <c r="H7" s="131"/>
      <c r="I7" s="131"/>
      <c r="J7" s="131"/>
      <c r="K7" s="131"/>
      <c r="L7" s="131"/>
      <c r="M7" s="131"/>
      <c r="N7" s="131"/>
      <c r="O7" s="131"/>
      <c r="P7" s="131"/>
      <c r="Q7" s="131"/>
    </row>
    <row r="8" spans="1:17" ht="17.100000000000001" customHeight="1" x14ac:dyDescent="0.2">
      <c r="A8" s="135" t="s">
        <v>590</v>
      </c>
      <c r="B8" s="114">
        <v>427.26</v>
      </c>
      <c r="C8" s="114">
        <v>607.66</v>
      </c>
      <c r="D8" s="114">
        <v>971.45</v>
      </c>
      <c r="E8" s="114">
        <v>1109.7</v>
      </c>
      <c r="F8" s="114">
        <v>1293.1500000000001</v>
      </c>
      <c r="G8" s="131">
        <v>746.4</v>
      </c>
      <c r="H8" s="131"/>
      <c r="I8" s="131"/>
      <c r="J8" s="131"/>
      <c r="K8" s="131"/>
      <c r="L8" s="131"/>
      <c r="M8" s="131"/>
      <c r="N8" s="131"/>
      <c r="O8" s="131"/>
      <c r="P8" s="131"/>
      <c r="Q8" s="131"/>
    </row>
    <row r="9" spans="1:17" ht="17.100000000000001" hidden="1" customHeight="1" x14ac:dyDescent="0.2">
      <c r="A9" s="135"/>
      <c r="B9" s="114"/>
      <c r="C9" s="114"/>
      <c r="D9" s="114"/>
      <c r="E9" s="114"/>
      <c r="F9" s="114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</row>
    <row r="10" spans="1:17" ht="17.100000000000001" hidden="1" customHeight="1" x14ac:dyDescent="0.2">
      <c r="A10" s="113" t="s">
        <v>561</v>
      </c>
      <c r="B10" s="175"/>
      <c r="C10" s="175">
        <f>C13/C2</f>
        <v>4.4408532643826763E-2</v>
      </c>
      <c r="D10" s="175">
        <f>D13/D2</f>
        <v>0.12587653753304978</v>
      </c>
      <c r="E10" s="175">
        <f>E13/E2</f>
        <v>0.19403890106814686</v>
      </c>
      <c r="F10" s="175">
        <f>F13/F2</f>
        <v>0.24657677432842059</v>
      </c>
      <c r="G10" s="133">
        <v>5.9900000000000002E-2</v>
      </c>
      <c r="H10" s="131"/>
      <c r="I10" s="131"/>
      <c r="J10" s="131"/>
      <c r="K10" s="131"/>
      <c r="L10" s="131"/>
      <c r="M10" s="131"/>
      <c r="N10" s="131"/>
      <c r="O10" s="131"/>
      <c r="P10" s="131"/>
      <c r="Q10" s="131"/>
    </row>
    <row r="11" spans="1:17" ht="17.100000000000001" hidden="1" customHeight="1" x14ac:dyDescent="0.2">
      <c r="A11" s="113" t="s">
        <v>505</v>
      </c>
      <c r="B11" s="114">
        <v>344.4</v>
      </c>
      <c r="C11" s="114">
        <v>305.52</v>
      </c>
      <c r="D11" s="114">
        <v>401.1</v>
      </c>
      <c r="E11" s="114">
        <v>718.31</v>
      </c>
      <c r="F11" s="114">
        <v>786.01</v>
      </c>
      <c r="G11" s="131">
        <v>384.8</v>
      </c>
      <c r="H11" s="131"/>
      <c r="I11" s="131"/>
      <c r="J11" s="131"/>
      <c r="K11" s="131"/>
      <c r="L11" s="131"/>
      <c r="M11" s="131"/>
      <c r="N11" s="131"/>
      <c r="O11" s="131"/>
      <c r="P11" s="131"/>
      <c r="Q11" s="131"/>
    </row>
    <row r="12" spans="1:17" ht="17.100000000000001" hidden="1" customHeight="1" x14ac:dyDescent="0.2">
      <c r="A12" s="113" t="s">
        <v>588</v>
      </c>
      <c r="B12" s="114"/>
      <c r="C12" s="164">
        <v>0.1653</v>
      </c>
      <c r="D12" s="164">
        <v>0.1956</v>
      </c>
      <c r="E12" s="175">
        <f>(718.3-598)/E11</f>
        <v>0.16747643774971804</v>
      </c>
      <c r="F12" s="164">
        <v>0.1729</v>
      </c>
      <c r="G12" s="133">
        <v>0.16309999999999999</v>
      </c>
      <c r="H12" s="131"/>
      <c r="I12" s="131"/>
      <c r="J12" s="131"/>
      <c r="K12" s="131"/>
      <c r="L12" s="131"/>
      <c r="M12" s="131"/>
      <c r="N12" s="131"/>
      <c r="O12" s="131"/>
      <c r="P12" s="131"/>
      <c r="Q12" s="131"/>
    </row>
    <row r="13" spans="1:17" ht="17.100000000000001" customHeight="1" x14ac:dyDescent="0.2">
      <c r="A13" s="135" t="s">
        <v>127</v>
      </c>
      <c r="B13" s="114"/>
      <c r="C13" s="114">
        <v>6.87</v>
      </c>
      <c r="D13" s="114">
        <v>21.9</v>
      </c>
      <c r="E13" s="114">
        <v>41.6</v>
      </c>
      <c r="F13" s="114">
        <v>70.77</v>
      </c>
      <c r="G13" s="131">
        <v>17.5</v>
      </c>
      <c r="H13" s="131"/>
      <c r="I13" s="131"/>
      <c r="J13" s="131"/>
      <c r="K13" s="131"/>
      <c r="L13" s="131"/>
      <c r="M13" s="131"/>
      <c r="N13" s="131"/>
      <c r="O13" s="131"/>
      <c r="P13" s="131"/>
      <c r="Q13" s="131"/>
    </row>
    <row r="14" spans="1:17" ht="17.100000000000001" hidden="1" customHeight="1" x14ac:dyDescent="0.2">
      <c r="A14" s="113" t="s">
        <v>425</v>
      </c>
      <c r="B14" s="114"/>
      <c r="C14" s="114"/>
      <c r="D14" s="114">
        <v>16.350000000000001</v>
      </c>
      <c r="E14" s="114">
        <v>35.090000000000003</v>
      </c>
      <c r="F14" s="114">
        <v>56.44</v>
      </c>
      <c r="G14" s="131">
        <v>16.559999999999999</v>
      </c>
      <c r="H14" s="131"/>
      <c r="I14" s="131"/>
      <c r="J14" s="131"/>
      <c r="K14" s="131"/>
      <c r="L14" s="131"/>
      <c r="M14" s="131"/>
      <c r="N14" s="131"/>
      <c r="O14" s="131"/>
      <c r="P14" s="131"/>
      <c r="Q14" s="131"/>
    </row>
    <row r="15" spans="1:17" s="180" customFormat="1" ht="17.100000000000001" hidden="1" customHeight="1" x14ac:dyDescent="0.2">
      <c r="A15" s="179" t="s">
        <v>507</v>
      </c>
      <c r="B15" s="164"/>
      <c r="C15" s="164">
        <f>C13/C11</f>
        <v>2.2486252945797331E-2</v>
      </c>
      <c r="D15" s="164">
        <f>D13/D11</f>
        <v>5.4599850411368729E-2</v>
      </c>
      <c r="E15" s="164">
        <f>E13/E11</f>
        <v>5.7913714134565863E-2</v>
      </c>
      <c r="F15" s="164">
        <f>F13/F11</f>
        <v>9.0037022429740071E-2</v>
      </c>
      <c r="G15" s="133">
        <f>G13/G11</f>
        <v>4.5478170478170474E-2</v>
      </c>
      <c r="H15" s="133"/>
      <c r="I15" s="133"/>
      <c r="J15" s="133"/>
      <c r="K15" s="133"/>
      <c r="L15" s="133"/>
      <c r="M15" s="133"/>
      <c r="N15" s="133"/>
      <c r="O15" s="133"/>
      <c r="P15" s="133"/>
      <c r="Q15" s="133"/>
    </row>
    <row r="16" spans="1:17" s="237" customFormat="1" ht="17.100000000000001" hidden="1" customHeight="1" x14ac:dyDescent="0.2">
      <c r="A16" s="240" t="s">
        <v>426</v>
      </c>
      <c r="B16" s="241"/>
      <c r="C16" s="241"/>
      <c r="D16" s="241">
        <v>275.60000000000002</v>
      </c>
      <c r="E16" s="241">
        <f>F16/1.135</f>
        <v>516.0352422907489</v>
      </c>
      <c r="F16" s="241">
        <v>585.70000000000005</v>
      </c>
      <c r="G16" s="238">
        <v>273.8</v>
      </c>
      <c r="H16" s="238"/>
      <c r="I16" s="238"/>
      <c r="J16" s="238"/>
      <c r="K16" s="238"/>
      <c r="L16" s="238"/>
      <c r="M16" s="238"/>
      <c r="N16" s="238"/>
      <c r="O16" s="238"/>
      <c r="P16" s="238"/>
      <c r="Q16" s="238"/>
    </row>
    <row r="17" spans="1:17" ht="17.100000000000001" hidden="1" customHeight="1" x14ac:dyDescent="0.2">
      <c r="A17" s="135" t="s">
        <v>593</v>
      </c>
      <c r="B17" s="164">
        <v>0.18079999999999999</v>
      </c>
      <c r="C17" s="164">
        <v>0.15570000000000001</v>
      </c>
      <c r="D17" s="164">
        <v>0.20230000000000001</v>
      </c>
      <c r="E17" s="164">
        <v>0.17929999999999999</v>
      </c>
      <c r="F17" s="164">
        <v>0.19139999999999999</v>
      </c>
      <c r="G17" s="133">
        <v>0.19059999999999999</v>
      </c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17" ht="17.100000000000001" hidden="1" customHeight="1" x14ac:dyDescent="0.2">
      <c r="A18" s="135"/>
      <c r="B18" s="164"/>
      <c r="C18" s="175"/>
      <c r="D18" s="175"/>
      <c r="E18" s="175"/>
      <c r="F18" s="164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</row>
    <row r="19" spans="1:17" ht="17.100000000000001" customHeight="1" x14ac:dyDescent="0.2">
      <c r="A19" s="135" t="s">
        <v>73</v>
      </c>
      <c r="B19" s="114">
        <v>500</v>
      </c>
      <c r="C19" s="114">
        <v>963</v>
      </c>
      <c r="D19" s="114">
        <v>1466.1</v>
      </c>
      <c r="E19" s="114">
        <v>1960.5</v>
      </c>
      <c r="F19" s="114">
        <v>2238.3000000000002</v>
      </c>
      <c r="G19" s="131">
        <v>1089.8</v>
      </c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17" ht="17.100000000000001" customHeight="1" x14ac:dyDescent="0.2">
      <c r="A20" s="135" t="s">
        <v>74</v>
      </c>
      <c r="B20" s="114">
        <v>380</v>
      </c>
      <c r="C20" s="114">
        <v>735.3</v>
      </c>
      <c r="D20" s="114">
        <v>1144.4000000000001</v>
      </c>
      <c r="E20" s="114">
        <v>1540.7</v>
      </c>
      <c r="F20" s="114">
        <v>1685.3</v>
      </c>
      <c r="G20" s="131">
        <v>790.1</v>
      </c>
      <c r="H20" s="131"/>
      <c r="I20" s="131"/>
      <c r="J20" s="131"/>
      <c r="K20" s="131"/>
      <c r="L20" s="131"/>
      <c r="M20" s="131"/>
      <c r="N20" s="131"/>
      <c r="O20" s="131"/>
      <c r="P20" s="131"/>
      <c r="Q20" s="131"/>
    </row>
    <row r="21" spans="1:17" ht="17.100000000000001" customHeight="1" x14ac:dyDescent="0.2">
      <c r="A21" s="135" t="s">
        <v>126</v>
      </c>
      <c r="B21" s="114">
        <v>12054</v>
      </c>
      <c r="C21" s="114">
        <v>11260</v>
      </c>
      <c r="D21" s="114">
        <v>12810</v>
      </c>
      <c r="E21" s="114">
        <v>12725</v>
      </c>
      <c r="F21" s="114">
        <v>13281</v>
      </c>
      <c r="G21" s="131">
        <v>13793</v>
      </c>
      <c r="H21" s="131"/>
      <c r="I21" s="131"/>
      <c r="J21" s="131"/>
      <c r="K21" s="131"/>
      <c r="L21" s="131"/>
      <c r="M21" s="131"/>
      <c r="N21" s="131"/>
      <c r="O21" s="131"/>
      <c r="P21" s="131"/>
      <c r="Q21" s="131"/>
    </row>
    <row r="22" spans="1:17" ht="17.100000000000001" hidden="1" customHeight="1" x14ac:dyDescent="0.2">
      <c r="A22" s="135" t="s">
        <v>591</v>
      </c>
      <c r="B22" s="114">
        <v>400.48</v>
      </c>
      <c r="C22" s="114">
        <v>684.35</v>
      </c>
      <c r="D22" s="114">
        <v>1101.2</v>
      </c>
      <c r="E22" s="114">
        <v>1233.5899999999999</v>
      </c>
      <c r="F22" s="114">
        <v>1203.1099999999999</v>
      </c>
      <c r="G22" s="131">
        <v>1288.2</v>
      </c>
      <c r="H22" s="131"/>
      <c r="I22" s="131"/>
      <c r="J22" s="131"/>
      <c r="K22" s="131"/>
      <c r="L22" s="131"/>
      <c r="M22" s="131"/>
      <c r="N22" s="131"/>
      <c r="O22" s="131"/>
      <c r="P22" s="131"/>
      <c r="Q22" s="131"/>
    </row>
    <row r="23" spans="1:17" ht="17.100000000000001" hidden="1" customHeight="1" x14ac:dyDescent="0.2">
      <c r="A23" s="135"/>
      <c r="B23" s="114"/>
      <c r="C23" s="114"/>
      <c r="D23" s="114"/>
      <c r="E23" s="114"/>
      <c r="F23" s="114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</row>
    <row r="24" spans="1:17" ht="17.100000000000001" hidden="1" customHeight="1" x14ac:dyDescent="0.2">
      <c r="A24" s="135" t="s">
        <v>460</v>
      </c>
      <c r="B24" s="114">
        <v>27</v>
      </c>
      <c r="C24" s="114">
        <v>98</v>
      </c>
      <c r="D24" s="114">
        <v>111</v>
      </c>
      <c r="E24" s="114">
        <v>78</v>
      </c>
      <c r="F24" s="114">
        <v>107</v>
      </c>
      <c r="G24" s="131">
        <v>41</v>
      </c>
      <c r="H24" s="131"/>
      <c r="I24" s="131"/>
      <c r="J24" s="131"/>
      <c r="K24" s="131"/>
      <c r="L24" s="131"/>
      <c r="M24" s="131"/>
      <c r="N24" s="131"/>
      <c r="O24" s="131"/>
      <c r="P24" s="131"/>
      <c r="Q24" s="131"/>
    </row>
    <row r="25" spans="1:17" ht="17.100000000000001" hidden="1" customHeight="1" x14ac:dyDescent="0.2">
      <c r="A25" s="135" t="s">
        <v>79</v>
      </c>
      <c r="B25" s="114">
        <v>488</v>
      </c>
      <c r="C25" s="114">
        <v>1499</v>
      </c>
      <c r="D25" s="114">
        <v>1595.2</v>
      </c>
      <c r="E25" s="114">
        <v>988.72</v>
      </c>
      <c r="F25" s="114">
        <v>1522.9</v>
      </c>
      <c r="G25" s="131">
        <v>699.9</v>
      </c>
      <c r="H25" s="131"/>
      <c r="I25" s="131"/>
      <c r="J25" s="131"/>
      <c r="K25" s="131"/>
      <c r="L25" s="131"/>
      <c r="M25" s="131"/>
      <c r="N25" s="131"/>
      <c r="O25" s="131"/>
      <c r="P25" s="131"/>
      <c r="Q25" s="131"/>
    </row>
    <row r="26" spans="1:17" ht="17.100000000000001" customHeight="1" x14ac:dyDescent="0.2">
      <c r="A26" s="135" t="s">
        <v>82</v>
      </c>
      <c r="B26" s="114"/>
      <c r="C26" s="114">
        <v>4183</v>
      </c>
      <c r="D26" s="114">
        <v>4335</v>
      </c>
      <c r="E26" s="114">
        <v>5250</v>
      </c>
      <c r="F26" s="242">
        <v>5002</v>
      </c>
      <c r="G26" s="131">
        <v>4100</v>
      </c>
      <c r="H26" s="131"/>
      <c r="I26" s="131"/>
      <c r="J26" s="131"/>
      <c r="K26" s="131"/>
      <c r="L26" s="131"/>
      <c r="M26" s="131"/>
      <c r="N26" s="131"/>
      <c r="O26" s="131"/>
      <c r="P26" s="131"/>
      <c r="Q26" s="131"/>
    </row>
    <row r="27" spans="1:17" s="118" customFormat="1" ht="17.100000000000001" customHeight="1" x14ac:dyDescent="0.2">
      <c r="A27" s="136" t="s">
        <v>697</v>
      </c>
      <c r="B27" s="117"/>
      <c r="C27" s="117">
        <f>C21/C26</f>
        <v>2.6918479560124311</v>
      </c>
      <c r="D27" s="117">
        <f t="shared" ref="D27:G27" si="0">D21/D26</f>
        <v>2.9550173010380623</v>
      </c>
      <c r="E27" s="117">
        <f t="shared" si="0"/>
        <v>2.4238095238095236</v>
      </c>
      <c r="F27" s="117">
        <f t="shared" si="0"/>
        <v>2.6551379448220711</v>
      </c>
      <c r="G27" s="117">
        <f t="shared" si="0"/>
        <v>3.3641463414634147</v>
      </c>
      <c r="H27" s="134"/>
      <c r="I27" s="134"/>
      <c r="J27" s="134"/>
      <c r="K27" s="134"/>
      <c r="L27" s="134"/>
      <c r="M27" s="134"/>
      <c r="N27" s="134"/>
      <c r="O27" s="134"/>
      <c r="P27" s="134"/>
      <c r="Q27" s="134"/>
    </row>
    <row r="28" spans="1:17" ht="17.100000000000001" customHeight="1" x14ac:dyDescent="0.2">
      <c r="A28" s="135" t="s">
        <v>427</v>
      </c>
      <c r="B28" s="114"/>
      <c r="C28" s="114"/>
      <c r="D28" s="114">
        <v>1101.2</v>
      </c>
      <c r="E28" s="114">
        <v>1233.5999999999999</v>
      </c>
      <c r="F28" s="114">
        <v>1202.9000000000001</v>
      </c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</row>
    <row r="29" spans="1:17" ht="17.100000000000001" hidden="1" customHeight="1" x14ac:dyDescent="0.2">
      <c r="A29" s="135" t="s">
        <v>75</v>
      </c>
      <c r="B29" s="114"/>
      <c r="C29" s="114"/>
      <c r="D29" s="114"/>
      <c r="E29" s="114"/>
      <c r="F29" s="114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</row>
    <row r="30" spans="1:17" s="246" customFormat="1" ht="30.75" customHeight="1" x14ac:dyDescent="0.2">
      <c r="A30" s="113" t="s">
        <v>283</v>
      </c>
      <c r="B30" s="243">
        <v>1395</v>
      </c>
      <c r="C30" s="243">
        <v>2373</v>
      </c>
      <c r="D30" s="243">
        <v>2824</v>
      </c>
      <c r="E30" s="243">
        <v>2272</v>
      </c>
      <c r="F30" s="251" t="s">
        <v>659</v>
      </c>
      <c r="G30" s="251" t="s">
        <v>658</v>
      </c>
      <c r="H30" s="245"/>
      <c r="I30" s="245"/>
      <c r="J30" s="245"/>
      <c r="K30" s="245"/>
      <c r="L30" s="245"/>
      <c r="M30" s="245"/>
      <c r="N30" s="245"/>
      <c r="O30" s="245"/>
      <c r="P30" s="245"/>
      <c r="Q30" s="245"/>
    </row>
    <row r="31" spans="1:17" ht="17.100000000000001" hidden="1" customHeight="1" x14ac:dyDescent="0.2">
      <c r="A31" s="135" t="s">
        <v>78</v>
      </c>
      <c r="B31" s="114">
        <v>2529</v>
      </c>
      <c r="C31" s="114"/>
      <c r="D31" s="114"/>
      <c r="E31" s="114"/>
      <c r="F31" s="114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</row>
    <row r="32" spans="1:17" ht="17.100000000000001" hidden="1" customHeight="1" x14ac:dyDescent="0.2">
      <c r="A32" s="135"/>
      <c r="B32" s="114"/>
      <c r="C32" s="114"/>
      <c r="D32" s="114"/>
      <c r="E32" s="114"/>
      <c r="F32" s="114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</row>
    <row r="33" spans="1:17" ht="17.100000000000001" hidden="1" customHeight="1" x14ac:dyDescent="0.2">
      <c r="A33" s="135" t="s">
        <v>692</v>
      </c>
      <c r="B33" s="114"/>
      <c r="C33" s="114"/>
      <c r="D33" s="114"/>
      <c r="E33" s="114"/>
      <c r="F33" s="114"/>
      <c r="G33" s="131">
        <v>930</v>
      </c>
      <c r="H33" s="248" t="s">
        <v>693</v>
      </c>
      <c r="I33" s="131">
        <f>G16/G36*10000</f>
        <v>6931.6455696202538</v>
      </c>
      <c r="J33" s="131"/>
      <c r="K33" s="131"/>
      <c r="L33" s="131"/>
      <c r="M33" s="131"/>
      <c r="N33" s="131"/>
      <c r="O33" s="131"/>
      <c r="P33" s="131"/>
      <c r="Q33" s="131"/>
    </row>
    <row r="34" spans="1:17" ht="17.100000000000001" hidden="1" customHeight="1" x14ac:dyDescent="0.2">
      <c r="A34" s="135" t="s">
        <v>333</v>
      </c>
      <c r="B34" s="114"/>
      <c r="C34" s="114"/>
      <c r="D34" s="114"/>
      <c r="E34" s="114"/>
      <c r="F34" s="114"/>
      <c r="G34" s="131">
        <v>1251</v>
      </c>
      <c r="H34" s="248" t="s">
        <v>694</v>
      </c>
      <c r="I34" s="131"/>
      <c r="J34" s="131"/>
      <c r="K34" s="131"/>
      <c r="L34" s="131"/>
      <c r="M34" s="131"/>
      <c r="N34" s="131"/>
      <c r="O34" s="131"/>
      <c r="P34" s="131"/>
      <c r="Q34" s="131"/>
    </row>
    <row r="35" spans="1:17" ht="17.100000000000001" hidden="1" customHeight="1" x14ac:dyDescent="0.2">
      <c r="A35" s="135" t="s">
        <v>246</v>
      </c>
      <c r="B35" s="114"/>
      <c r="C35" s="114"/>
      <c r="D35" s="114"/>
      <c r="E35" s="114">
        <v>1406</v>
      </c>
      <c r="F35" s="114">
        <v>1357</v>
      </c>
      <c r="G35" s="131">
        <v>541</v>
      </c>
      <c r="H35" s="248" t="s">
        <v>656</v>
      </c>
      <c r="I35" s="250"/>
      <c r="J35" s="249"/>
      <c r="K35" s="249"/>
      <c r="L35" s="249"/>
      <c r="M35" s="249"/>
      <c r="N35" s="249"/>
      <c r="O35" s="249"/>
      <c r="P35" s="249"/>
      <c r="Q35" s="131"/>
    </row>
    <row r="36" spans="1:17" ht="17.100000000000001" hidden="1" customHeight="1" x14ac:dyDescent="0.2">
      <c r="A36" s="135" t="s">
        <v>655</v>
      </c>
      <c r="B36" s="114"/>
      <c r="C36" s="114"/>
      <c r="D36" s="114"/>
      <c r="E36" s="114">
        <v>946</v>
      </c>
      <c r="F36" s="114">
        <v>1349</v>
      </c>
      <c r="G36" s="131">
        <v>395</v>
      </c>
      <c r="H36" s="248" t="s">
        <v>657</v>
      </c>
      <c r="I36" s="250"/>
      <c r="J36" s="249"/>
      <c r="K36" s="249"/>
      <c r="L36" s="249"/>
      <c r="M36" s="249"/>
      <c r="N36" s="249"/>
      <c r="O36" s="249"/>
      <c r="P36" s="249"/>
      <c r="Q36" s="131"/>
    </row>
    <row r="37" spans="1:17" ht="17.100000000000001" hidden="1" customHeight="1" x14ac:dyDescent="0.2">
      <c r="A37" s="135" t="s">
        <v>695</v>
      </c>
      <c r="B37" s="114"/>
      <c r="C37" s="114"/>
      <c r="D37" s="114"/>
      <c r="E37" s="114"/>
      <c r="F37" s="114"/>
      <c r="G37" s="131"/>
      <c r="H37" s="248"/>
      <c r="I37" s="250"/>
      <c r="J37" s="249"/>
      <c r="K37" s="249"/>
      <c r="L37" s="249"/>
      <c r="M37" s="249"/>
      <c r="N37" s="249"/>
      <c r="O37" s="249"/>
      <c r="P37" s="249"/>
      <c r="Q37" s="131"/>
    </row>
    <row r="38" spans="1:17" ht="17.100000000000001" customHeight="1" x14ac:dyDescent="0.2">
      <c r="A38" s="135"/>
      <c r="B38" s="114"/>
      <c r="C38" s="114"/>
      <c r="D38" s="114"/>
      <c r="E38" s="114"/>
      <c r="F38" s="114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</row>
    <row r="39" spans="1:17" ht="17.100000000000001" customHeight="1" x14ac:dyDescent="0.2">
      <c r="A39" s="135" t="s">
        <v>83</v>
      </c>
      <c r="B39" s="114">
        <v>388.67</v>
      </c>
      <c r="C39" s="114">
        <v>530</v>
      </c>
      <c r="D39" s="114">
        <v>579.4</v>
      </c>
      <c r="E39" s="114">
        <v>699.2</v>
      </c>
      <c r="F39" s="114">
        <v>799</v>
      </c>
      <c r="G39" s="131">
        <v>767.6</v>
      </c>
      <c r="H39" s="131"/>
      <c r="I39" s="131"/>
      <c r="J39" s="131"/>
      <c r="K39" s="131"/>
      <c r="L39" s="131"/>
      <c r="M39" s="131"/>
      <c r="N39" s="131"/>
      <c r="O39" s="131"/>
      <c r="P39" s="131"/>
      <c r="Q39" s="131"/>
    </row>
    <row r="40" spans="1:17" ht="17.100000000000001" customHeight="1" x14ac:dyDescent="0.2">
      <c r="A40" s="135" t="s">
        <v>560</v>
      </c>
      <c r="B40" s="114">
        <v>73.180000000000007</v>
      </c>
      <c r="C40" s="114">
        <v>131.29</v>
      </c>
      <c r="D40" s="114">
        <v>180.13</v>
      </c>
      <c r="E40" s="114">
        <v>242.15</v>
      </c>
      <c r="F40" s="114">
        <v>233.71</v>
      </c>
      <c r="G40" s="131">
        <v>209</v>
      </c>
      <c r="H40" s="131"/>
      <c r="I40" s="131"/>
      <c r="J40" s="131"/>
      <c r="K40" s="131"/>
      <c r="L40" s="131"/>
      <c r="M40" s="131"/>
      <c r="N40" s="131"/>
      <c r="O40" s="131"/>
      <c r="P40" s="131"/>
      <c r="Q40" s="131"/>
    </row>
    <row r="41" spans="1:17" ht="17.100000000000001" customHeight="1" x14ac:dyDescent="0.2">
      <c r="A41" s="135" t="s">
        <v>38</v>
      </c>
      <c r="B41" s="114">
        <v>34.770000000000003</v>
      </c>
      <c r="C41" s="114">
        <v>28.35</v>
      </c>
      <c r="D41" s="114">
        <v>48.64</v>
      </c>
      <c r="E41" s="114">
        <v>65.87</v>
      </c>
      <c r="F41" s="114">
        <v>69.02</v>
      </c>
      <c r="G41" s="131">
        <v>32.65</v>
      </c>
      <c r="H41" s="131"/>
      <c r="I41" s="131"/>
      <c r="J41" s="131"/>
      <c r="K41" s="131"/>
      <c r="L41" s="131"/>
      <c r="M41" s="131"/>
      <c r="N41" s="131"/>
      <c r="O41" s="131"/>
      <c r="P41" s="131"/>
      <c r="Q41" s="131"/>
    </row>
    <row r="42" spans="1:17" ht="17.100000000000001" customHeight="1" x14ac:dyDescent="0.2">
      <c r="A42" s="135" t="s">
        <v>594</v>
      </c>
      <c r="B42" s="114">
        <v>27.18</v>
      </c>
      <c r="C42" s="114">
        <v>35.909999999999997</v>
      </c>
      <c r="D42" s="114">
        <v>47.4</v>
      </c>
      <c r="E42" s="114">
        <v>69.900000000000006</v>
      </c>
      <c r="F42" s="114">
        <v>79.209999999999994</v>
      </c>
      <c r="G42" s="131">
        <v>39.200000000000003</v>
      </c>
      <c r="H42" s="131"/>
      <c r="I42" s="131"/>
      <c r="J42" s="131"/>
      <c r="K42" s="131"/>
      <c r="L42" s="131"/>
      <c r="M42" s="131"/>
      <c r="N42" s="131"/>
      <c r="O42" s="131"/>
      <c r="P42" s="131"/>
      <c r="Q42" s="131"/>
    </row>
    <row r="43" spans="1:17" ht="17.100000000000001" customHeight="1" x14ac:dyDescent="0.2">
      <c r="A43" s="135" t="s">
        <v>402</v>
      </c>
      <c r="B43" s="114">
        <v>26.58</v>
      </c>
      <c r="C43" s="114">
        <v>35.36</v>
      </c>
      <c r="D43" s="114">
        <v>46.66</v>
      </c>
      <c r="E43" s="114">
        <v>65.45</v>
      </c>
      <c r="F43" s="114">
        <v>68.52</v>
      </c>
      <c r="G43" s="131">
        <v>39.119999999999997</v>
      </c>
      <c r="H43" s="131"/>
      <c r="I43" s="131"/>
      <c r="J43" s="131"/>
      <c r="K43" s="131"/>
      <c r="L43" s="131"/>
      <c r="M43" s="131"/>
      <c r="N43" s="131"/>
      <c r="O43" s="131"/>
      <c r="P43" s="131"/>
      <c r="Q43" s="131"/>
    </row>
    <row r="44" spans="1:17" ht="17.100000000000001" customHeight="1" x14ac:dyDescent="0.2">
      <c r="A44" s="135" t="s">
        <v>403</v>
      </c>
      <c r="B44" s="114">
        <f>B43-B46</f>
        <v>-5.4500000000000028</v>
      </c>
      <c r="C44" s="114">
        <f t="shared" ref="C44:D44" si="1">C43-C46</f>
        <v>10.59</v>
      </c>
      <c r="D44" s="114">
        <f t="shared" si="1"/>
        <v>2.5899999999999963</v>
      </c>
      <c r="E44" s="114">
        <f>E43-E46</f>
        <v>6.720000000000006</v>
      </c>
      <c r="F44" s="114">
        <f>F43-F46</f>
        <v>6.3799999999999955</v>
      </c>
      <c r="G44" s="114">
        <f>G43-G46</f>
        <v>6.4699999999999989</v>
      </c>
      <c r="H44" s="131"/>
      <c r="I44" s="131"/>
      <c r="J44" s="131"/>
      <c r="K44" s="131"/>
      <c r="L44" s="131"/>
      <c r="M44" s="131"/>
      <c r="N44" s="131"/>
      <c r="O44" s="131"/>
      <c r="P44" s="131"/>
      <c r="Q44" s="131"/>
    </row>
    <row r="45" spans="1:17" ht="17.100000000000001" customHeight="1" x14ac:dyDescent="0.2">
      <c r="A45" s="135" t="s">
        <v>408</v>
      </c>
      <c r="B45" s="114"/>
      <c r="C45" s="114">
        <v>2.76</v>
      </c>
      <c r="D45" s="114">
        <v>5.45</v>
      </c>
      <c r="E45" s="114">
        <v>7.52</v>
      </c>
      <c r="F45" s="114">
        <v>7.06</v>
      </c>
      <c r="G45" s="131">
        <v>6.55</v>
      </c>
      <c r="H45" s="131"/>
      <c r="I45" s="131"/>
      <c r="J45" s="131"/>
      <c r="K45" s="131"/>
      <c r="L45" s="131"/>
      <c r="M45" s="131"/>
      <c r="N45" s="131"/>
      <c r="O45" s="131"/>
      <c r="P45" s="131"/>
      <c r="Q45" s="131"/>
    </row>
    <row r="46" spans="1:17" ht="17.100000000000001" customHeight="1" x14ac:dyDescent="0.2">
      <c r="A46" s="135" t="s">
        <v>39</v>
      </c>
      <c r="B46" s="114">
        <v>32.03</v>
      </c>
      <c r="C46" s="114">
        <v>24.77</v>
      </c>
      <c r="D46" s="114">
        <v>44.07</v>
      </c>
      <c r="E46" s="114">
        <v>58.73</v>
      </c>
      <c r="F46" s="114">
        <v>62.14</v>
      </c>
      <c r="G46" s="131">
        <v>32.65</v>
      </c>
      <c r="H46" s="131"/>
      <c r="I46" s="131"/>
      <c r="J46" s="131"/>
      <c r="K46" s="131"/>
      <c r="L46" s="131"/>
      <c r="M46" s="131"/>
      <c r="N46" s="131"/>
      <c r="O46" s="131"/>
      <c r="P46" s="131"/>
      <c r="Q46" s="131"/>
    </row>
    <row r="47" spans="1:17" s="246" customFormat="1" ht="31.5" customHeight="1" x14ac:dyDescent="0.2">
      <c r="A47" s="113" t="s">
        <v>204</v>
      </c>
      <c r="B47" s="243">
        <v>73.86</v>
      </c>
      <c r="C47" s="243">
        <v>80.72</v>
      </c>
      <c r="D47" s="243">
        <v>97.28</v>
      </c>
      <c r="E47" s="243">
        <v>122.8</v>
      </c>
      <c r="F47" s="243">
        <v>146.37</v>
      </c>
      <c r="G47" s="244"/>
      <c r="H47" s="244"/>
      <c r="I47" s="245"/>
      <c r="J47" s="245"/>
      <c r="K47" s="245"/>
      <c r="L47" s="245"/>
      <c r="M47" s="245"/>
      <c r="N47" s="245"/>
      <c r="O47" s="245"/>
      <c r="P47" s="245"/>
      <c r="Q47" s="245"/>
    </row>
    <row r="48" spans="1:17" ht="17.100000000000001" customHeight="1" x14ac:dyDescent="0.2">
      <c r="A48" s="135" t="s">
        <v>397</v>
      </c>
      <c r="B48" s="114"/>
      <c r="C48" s="114">
        <f>C46+B47</f>
        <v>98.63</v>
      </c>
      <c r="D48" s="114">
        <f t="shared" ref="D48" si="2">D46+C47</f>
        <v>124.78999999999999</v>
      </c>
      <c r="E48" s="114">
        <f>E46+D47</f>
        <v>156.01</v>
      </c>
      <c r="F48" s="114">
        <f>F46+E47</f>
        <v>184.94</v>
      </c>
      <c r="G48" s="114">
        <f>G46+F47</f>
        <v>179.02</v>
      </c>
      <c r="H48" s="131"/>
      <c r="I48" s="131"/>
      <c r="J48" s="131"/>
      <c r="K48" s="131"/>
      <c r="L48" s="131"/>
      <c r="M48" s="131"/>
      <c r="N48" s="131"/>
      <c r="O48" s="131"/>
      <c r="P48" s="131"/>
      <c r="Q48" s="131"/>
    </row>
    <row r="49" spans="1:17" ht="17.100000000000001" customHeight="1" x14ac:dyDescent="0.2">
      <c r="A49" s="135" t="s">
        <v>396</v>
      </c>
      <c r="B49" s="114"/>
      <c r="C49" s="114">
        <f>C48-C47</f>
        <v>17.909999999999997</v>
      </c>
      <c r="D49" s="114">
        <f t="shared" ref="D49:E49" si="3">D48-D47</f>
        <v>27.509999999999991</v>
      </c>
      <c r="E49" s="114">
        <f t="shared" si="3"/>
        <v>33.209999999999994</v>
      </c>
      <c r="F49" s="114">
        <f>F48-F47</f>
        <v>38.569999999999993</v>
      </c>
      <c r="G49" s="114"/>
      <c r="H49" s="131"/>
      <c r="I49" s="131"/>
      <c r="J49" s="131"/>
      <c r="K49" s="131"/>
      <c r="L49" s="131"/>
      <c r="M49" s="131"/>
      <c r="N49" s="131"/>
      <c r="O49" s="131"/>
      <c r="P49" s="131"/>
      <c r="Q49" s="131"/>
    </row>
    <row r="50" spans="1:17" s="180" customFormat="1" ht="17.100000000000001" customHeight="1" x14ac:dyDescent="0.2">
      <c r="A50" s="263" t="s">
        <v>696</v>
      </c>
      <c r="B50" s="164"/>
      <c r="C50" s="164"/>
      <c r="D50" s="164">
        <f t="shared" ref="D50:E50" si="4">D49/D16</f>
        <v>9.9818577648766282E-2</v>
      </c>
      <c r="E50" s="164">
        <f t="shared" si="4"/>
        <v>6.4356069660235604E-2</v>
      </c>
      <c r="F50" s="164">
        <f>F49/F16</f>
        <v>6.5852825678675078E-2</v>
      </c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</row>
    <row r="51" spans="1:17" s="180" customFormat="1" ht="17.100000000000001" customHeight="1" x14ac:dyDescent="0.2">
      <c r="A51" s="263"/>
      <c r="B51" s="164"/>
      <c r="C51" s="164"/>
      <c r="D51" s="164"/>
      <c r="E51" s="164"/>
      <c r="F51" s="164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</row>
    <row r="52" spans="1:17" ht="17.100000000000001" customHeight="1" x14ac:dyDescent="0.2">
      <c r="A52" s="135" t="s">
        <v>431</v>
      </c>
      <c r="B52" s="114">
        <v>5.69</v>
      </c>
      <c r="C52" s="114">
        <v>7.24</v>
      </c>
      <c r="D52" s="114">
        <v>9.66</v>
      </c>
      <c r="E52" s="114">
        <v>14.63</v>
      </c>
      <c r="F52" s="114">
        <v>17.3</v>
      </c>
      <c r="G52" s="131">
        <v>9.6300000000000008</v>
      </c>
      <c r="H52" s="131"/>
      <c r="I52" s="131"/>
      <c r="J52" s="131"/>
      <c r="K52" s="131"/>
      <c r="L52" s="131"/>
      <c r="M52" s="131"/>
      <c r="N52" s="131"/>
      <c r="O52" s="131"/>
      <c r="P52" s="131"/>
      <c r="Q52" s="131"/>
    </row>
    <row r="53" spans="1:17" ht="17.100000000000001" customHeight="1" x14ac:dyDescent="0.2">
      <c r="A53" s="135" t="s">
        <v>59</v>
      </c>
      <c r="B53" s="114">
        <v>16.39</v>
      </c>
      <c r="C53" s="114">
        <v>17.78</v>
      </c>
      <c r="D53" s="114">
        <v>23.9</v>
      </c>
      <c r="E53" s="114">
        <v>32.159999999999997</v>
      </c>
      <c r="F53" s="114">
        <v>28.2</v>
      </c>
      <c r="G53" s="131">
        <v>16.239999999999998</v>
      </c>
      <c r="H53" s="131"/>
      <c r="I53" s="131"/>
      <c r="J53" s="131"/>
      <c r="K53" s="131"/>
      <c r="L53" s="131"/>
      <c r="M53" s="131"/>
      <c r="N53" s="131"/>
      <c r="O53" s="131"/>
      <c r="P53" s="131"/>
      <c r="Q53" s="131"/>
    </row>
    <row r="54" spans="1:17" ht="17.100000000000001" customHeight="1" x14ac:dyDescent="0.2"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</row>
    <row r="55" spans="1:17" s="118" customFormat="1" ht="17.100000000000001" customHeight="1" x14ac:dyDescent="0.2">
      <c r="A55" s="136" t="s">
        <v>428</v>
      </c>
      <c r="B55" s="90">
        <f>B6/B40</f>
        <v>1.2354468433998358</v>
      </c>
      <c r="C55" s="90">
        <f>C6/C40</f>
        <v>1.0869068474369716</v>
      </c>
      <c r="D55" s="90">
        <f>D6/D40</f>
        <v>1.1334591683783934</v>
      </c>
      <c r="E55" s="90">
        <f>E6/E40</f>
        <v>1.0493495767086516</v>
      </c>
      <c r="F55" s="117">
        <v>1.04</v>
      </c>
      <c r="G55" s="134">
        <v>1.29</v>
      </c>
      <c r="H55" s="134"/>
      <c r="I55" s="134"/>
      <c r="J55" s="134"/>
      <c r="K55" s="134"/>
      <c r="L55" s="134"/>
      <c r="M55" s="134"/>
      <c r="N55" s="134"/>
      <c r="O55" s="134"/>
      <c r="P55" s="134"/>
      <c r="Q55" s="134"/>
    </row>
    <row r="56" spans="1:17" ht="17.100000000000001" customHeight="1" x14ac:dyDescent="0.2">
      <c r="A56" s="135" t="s">
        <v>429</v>
      </c>
      <c r="F56" s="164">
        <v>0.97270000000000001</v>
      </c>
      <c r="G56" s="133">
        <v>0.95269999999999999</v>
      </c>
      <c r="H56" s="131"/>
      <c r="I56" s="131"/>
      <c r="J56" s="131"/>
      <c r="K56" s="131"/>
      <c r="L56" s="131"/>
      <c r="M56" s="131"/>
      <c r="N56" s="131"/>
      <c r="O56" s="131"/>
      <c r="P56" s="131"/>
      <c r="Q56" s="131"/>
    </row>
    <row r="57" spans="1:17" ht="17.100000000000001" customHeight="1" x14ac:dyDescent="0.2">
      <c r="A57" s="135" t="s">
        <v>268</v>
      </c>
      <c r="F57" s="164">
        <v>0.79759999999999998</v>
      </c>
      <c r="G57" s="133">
        <v>0.7742</v>
      </c>
      <c r="H57" s="131"/>
      <c r="I57" s="131"/>
      <c r="J57" s="131"/>
      <c r="K57" s="131"/>
      <c r="L57" s="131"/>
      <c r="M57" s="131"/>
      <c r="N57" s="131"/>
      <c r="O57" s="131"/>
      <c r="P57" s="131"/>
      <c r="Q57" s="131"/>
    </row>
    <row r="58" spans="1:17" ht="17.100000000000001" customHeight="1" x14ac:dyDescent="0.2">
      <c r="A58" s="135" t="s">
        <v>430</v>
      </c>
      <c r="F58" s="164">
        <v>0.86539999999999995</v>
      </c>
      <c r="G58" s="133">
        <v>0.8599</v>
      </c>
      <c r="H58" s="131"/>
      <c r="I58" s="131"/>
      <c r="J58" s="131"/>
      <c r="K58" s="131"/>
      <c r="L58" s="131"/>
      <c r="M58" s="131"/>
      <c r="N58" s="131"/>
      <c r="O58" s="131"/>
      <c r="P58" s="131"/>
      <c r="Q58" s="131"/>
    </row>
    <row r="65" spans="1:1" x14ac:dyDescent="0.2">
      <c r="A65" s="247" t="s">
        <v>612</v>
      </c>
    </row>
    <row r="66" spans="1:1" x14ac:dyDescent="0.2">
      <c r="A66" s="247">
        <f>750/0.81/0.85</f>
        <v>1089.3246187363834</v>
      </c>
    </row>
  </sheetData>
  <phoneticPr fontId="1" type="noConversion"/>
  <conditionalFormatting sqref="A6:XFD6">
    <cfRule type="colorScale" priority="5">
      <colorScale>
        <cfvo type="min"/>
        <cfvo type="max"/>
        <color rgb="FFFFEF9C"/>
        <color rgb="FF63BE7B"/>
      </colorScale>
    </cfRule>
  </conditionalFormatting>
  <conditionalFormatting sqref="A8:XFD8">
    <cfRule type="colorScale" priority="4">
      <colorScale>
        <cfvo type="min"/>
        <cfvo type="max"/>
        <color rgb="FFFFEF9C"/>
        <color rgb="FF63BE7B"/>
      </colorScale>
    </cfRule>
  </conditionalFormatting>
  <conditionalFormatting sqref="A22:XFD22">
    <cfRule type="colorScale" priority="3">
      <colorScale>
        <cfvo type="min"/>
        <cfvo type="max"/>
        <color rgb="FFFFEF9C"/>
        <color rgb="FF63BE7B"/>
      </colorScale>
    </cfRule>
  </conditionalFormatting>
  <conditionalFormatting sqref="A39:XFD39">
    <cfRule type="colorScale" priority="2">
      <colorScale>
        <cfvo type="min"/>
        <cfvo type="max"/>
        <color rgb="FF63BE7B"/>
        <color rgb="FFFFEF9C"/>
      </colorScale>
    </cfRule>
  </conditionalFormatting>
  <conditionalFormatting sqref="A27:XFD2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6A7F-7910-4C5F-A27F-105300BA05A8}">
  <dimension ref="A1:Q50"/>
  <sheetViews>
    <sheetView workbookViewId="0">
      <selection activeCell="P15" sqref="P15"/>
    </sheetView>
  </sheetViews>
  <sheetFormatPr defaultRowHeight="16.5" x14ac:dyDescent="0.2"/>
  <cols>
    <col min="1" max="1" width="25.875" style="221" customWidth="1"/>
    <col min="2" max="6" width="9" style="35"/>
    <col min="7" max="7" width="12" style="232" customWidth="1"/>
    <col min="8" max="16384" width="9" style="35"/>
  </cols>
  <sheetData>
    <row r="1" spans="1:17" s="155" customFormat="1" x14ac:dyDescent="0.2">
      <c r="A1" s="220" t="s">
        <v>309</v>
      </c>
      <c r="B1" s="155" t="s">
        <v>4</v>
      </c>
      <c r="C1" s="155" t="s">
        <v>3</v>
      </c>
      <c r="D1" s="155" t="s">
        <v>71</v>
      </c>
      <c r="E1" s="155" t="s">
        <v>72</v>
      </c>
      <c r="F1" s="155" t="s">
        <v>633</v>
      </c>
      <c r="G1" s="231"/>
    </row>
    <row r="2" spans="1:17" x14ac:dyDescent="0.2">
      <c r="A2" s="221" t="s">
        <v>312</v>
      </c>
      <c r="B2" s="227">
        <v>180.69</v>
      </c>
      <c r="C2" s="227">
        <v>214.8</v>
      </c>
      <c r="D2" s="227">
        <v>265.67</v>
      </c>
      <c r="E2" s="227">
        <v>347.8</v>
      </c>
      <c r="F2" s="227">
        <v>396.69</v>
      </c>
      <c r="H2" s="227"/>
      <c r="I2" s="227"/>
      <c r="J2" s="227"/>
      <c r="K2" s="227"/>
      <c r="L2" s="227"/>
      <c r="M2" s="227"/>
      <c r="N2" s="227"/>
      <c r="O2" s="227"/>
      <c r="P2" s="227"/>
      <c r="Q2" s="227"/>
    </row>
    <row r="3" spans="1:17" x14ac:dyDescent="0.2">
      <c r="A3" s="221" t="s">
        <v>634</v>
      </c>
      <c r="B3" s="227">
        <v>25.97</v>
      </c>
      <c r="C3" s="227">
        <v>145.86000000000001</v>
      </c>
      <c r="D3" s="227">
        <v>247.84</v>
      </c>
      <c r="E3" s="227">
        <v>365.76</v>
      </c>
      <c r="F3" s="227">
        <v>378.91</v>
      </c>
      <c r="H3" s="227"/>
      <c r="I3" s="227"/>
      <c r="J3" s="227"/>
      <c r="K3" s="227"/>
      <c r="L3" s="227"/>
      <c r="M3" s="227"/>
      <c r="N3" s="227"/>
      <c r="O3" s="227"/>
      <c r="P3" s="227"/>
      <c r="Q3" s="227"/>
    </row>
    <row r="4" spans="1:17" x14ac:dyDescent="0.2">
      <c r="A4" s="221" t="s">
        <v>335</v>
      </c>
      <c r="B4" s="227"/>
      <c r="C4" s="227">
        <v>19.22</v>
      </c>
      <c r="D4" s="227">
        <v>23.99</v>
      </c>
      <c r="E4" s="227">
        <v>23.99</v>
      </c>
      <c r="F4" s="227"/>
      <c r="H4" s="227"/>
      <c r="I4" s="227"/>
      <c r="J4" s="227"/>
      <c r="K4" s="227"/>
      <c r="L4" s="227"/>
      <c r="M4" s="227"/>
      <c r="N4" s="227"/>
      <c r="O4" s="227"/>
      <c r="P4" s="227"/>
      <c r="Q4" s="227"/>
    </row>
    <row r="5" spans="1:17" x14ac:dyDescent="0.2">
      <c r="A5" s="222" t="s">
        <v>557</v>
      </c>
      <c r="B5" s="227">
        <v>186.27</v>
      </c>
      <c r="C5" s="227">
        <v>298.52</v>
      </c>
      <c r="D5" s="227">
        <v>359.86</v>
      </c>
      <c r="E5" s="227">
        <v>434.92</v>
      </c>
      <c r="F5" s="227">
        <v>370.3</v>
      </c>
      <c r="H5" s="227"/>
      <c r="I5" s="227"/>
      <c r="J5" s="227"/>
      <c r="K5" s="227"/>
      <c r="L5" s="227"/>
      <c r="M5" s="227"/>
      <c r="N5" s="227"/>
      <c r="O5" s="227"/>
      <c r="P5" s="227"/>
      <c r="Q5" s="227"/>
    </row>
    <row r="6" spans="1:17" x14ac:dyDescent="0.2">
      <c r="A6" s="222" t="s">
        <v>589</v>
      </c>
      <c r="B6" s="227">
        <v>4.46</v>
      </c>
      <c r="C6" s="227">
        <v>3.68</v>
      </c>
      <c r="D6" s="227">
        <v>10.99</v>
      </c>
      <c r="E6" s="227">
        <v>7.84</v>
      </c>
      <c r="F6" s="227">
        <v>6.29</v>
      </c>
      <c r="H6" s="227"/>
      <c r="I6" s="227"/>
      <c r="J6" s="227"/>
      <c r="K6" s="227"/>
      <c r="L6" s="227"/>
      <c r="M6" s="227"/>
      <c r="N6" s="227"/>
      <c r="O6" s="227"/>
      <c r="P6" s="227"/>
      <c r="Q6" s="227"/>
    </row>
    <row r="7" spans="1:17" x14ac:dyDescent="0.2">
      <c r="A7" s="222" t="s">
        <v>590</v>
      </c>
      <c r="B7" s="227">
        <v>706.43</v>
      </c>
      <c r="C7" s="227">
        <v>1209.0999999999999</v>
      </c>
      <c r="D7" s="227">
        <v>1558.3</v>
      </c>
      <c r="E7" s="227">
        <v>1846.06</v>
      </c>
      <c r="F7" s="227">
        <v>759.69</v>
      </c>
      <c r="H7" s="227"/>
      <c r="I7" s="227"/>
      <c r="J7" s="227"/>
      <c r="K7" s="227"/>
      <c r="L7" s="227"/>
      <c r="M7" s="227"/>
      <c r="N7" s="227"/>
      <c r="O7" s="227"/>
      <c r="P7" s="227"/>
      <c r="Q7" s="227"/>
    </row>
    <row r="8" spans="1:17" x14ac:dyDescent="0.2">
      <c r="B8" s="227"/>
      <c r="C8" s="227"/>
      <c r="D8" s="227"/>
      <c r="E8" s="227"/>
      <c r="F8" s="227"/>
      <c r="H8" s="227"/>
      <c r="I8" s="227"/>
      <c r="J8" s="227"/>
      <c r="K8" s="227"/>
      <c r="L8" s="227"/>
      <c r="M8" s="227"/>
      <c r="N8" s="227"/>
      <c r="O8" s="227"/>
      <c r="P8" s="227"/>
      <c r="Q8" s="227"/>
    </row>
    <row r="9" spans="1:17" x14ac:dyDescent="0.2">
      <c r="A9" s="221" t="s">
        <v>510</v>
      </c>
      <c r="B9" s="227">
        <v>347.58</v>
      </c>
      <c r="C9" s="227">
        <v>412.34</v>
      </c>
      <c r="D9" s="227">
        <v>677.73</v>
      </c>
      <c r="E9" s="227">
        <v>877.04</v>
      </c>
      <c r="F9" s="227">
        <v>439.73</v>
      </c>
      <c r="G9" s="232" t="s">
        <v>641</v>
      </c>
      <c r="H9" s="227"/>
      <c r="I9" s="227"/>
      <c r="J9" s="227"/>
      <c r="K9" s="227"/>
      <c r="L9" s="227"/>
      <c r="M9" s="227"/>
      <c r="N9" s="227"/>
      <c r="O9" s="227"/>
      <c r="P9" s="227"/>
      <c r="Q9" s="227"/>
    </row>
    <row r="10" spans="1:17" x14ac:dyDescent="0.2">
      <c r="A10" s="221" t="s">
        <v>310</v>
      </c>
      <c r="B10" s="227">
        <v>20.04</v>
      </c>
      <c r="C10" s="227">
        <v>38.85</v>
      </c>
      <c r="D10" s="227">
        <v>56.75</v>
      </c>
      <c r="E10" s="227">
        <v>70.3</v>
      </c>
      <c r="F10" s="227">
        <v>37.049999999999997</v>
      </c>
      <c r="G10" s="232" t="s">
        <v>642</v>
      </c>
      <c r="H10" s="227"/>
      <c r="I10" s="227"/>
      <c r="J10" s="227"/>
      <c r="K10" s="227"/>
      <c r="L10" s="227"/>
      <c r="M10" s="227"/>
      <c r="N10" s="227"/>
      <c r="O10" s="227"/>
      <c r="P10" s="227"/>
      <c r="Q10" s="227"/>
    </row>
    <row r="11" spans="1:17" s="156" customFormat="1" x14ac:dyDescent="0.2">
      <c r="A11" s="223" t="s">
        <v>478</v>
      </c>
      <c r="B11" s="228">
        <f>B10/B9</f>
        <v>5.7655791472466772E-2</v>
      </c>
      <c r="C11" s="228">
        <f>C10/C9</f>
        <v>9.4218363486443232E-2</v>
      </c>
      <c r="D11" s="228">
        <f>D10/D9</f>
        <v>8.3735410856830894E-2</v>
      </c>
      <c r="E11" s="228">
        <f>E10/E9</f>
        <v>8.0155979202772967E-2</v>
      </c>
      <c r="F11" s="228">
        <f>F10/F9</f>
        <v>8.4256248152275254E-2</v>
      </c>
      <c r="G11" s="233"/>
      <c r="H11" s="228"/>
      <c r="I11" s="228"/>
      <c r="J11" s="228"/>
      <c r="K11" s="228"/>
      <c r="L11" s="228"/>
      <c r="M11" s="228"/>
      <c r="N11" s="228"/>
      <c r="O11" s="228"/>
      <c r="P11" s="228"/>
      <c r="Q11" s="228"/>
    </row>
    <row r="12" spans="1:17" ht="33" x14ac:dyDescent="0.2">
      <c r="A12" s="224" t="s">
        <v>311</v>
      </c>
      <c r="B12" s="227">
        <v>16.95</v>
      </c>
      <c r="C12" s="227">
        <v>40.18</v>
      </c>
      <c r="D12" s="227">
        <v>57.34</v>
      </c>
      <c r="E12" s="227">
        <v>61.85</v>
      </c>
      <c r="F12" s="227">
        <v>28.5</v>
      </c>
      <c r="G12" s="232" t="s">
        <v>643</v>
      </c>
      <c r="H12" s="227"/>
      <c r="I12" s="227"/>
      <c r="J12" s="227"/>
      <c r="K12" s="227"/>
      <c r="L12" s="227"/>
      <c r="M12" s="227"/>
      <c r="N12" s="227"/>
      <c r="O12" s="227"/>
      <c r="P12" s="227"/>
      <c r="Q12" s="227"/>
    </row>
    <row r="13" spans="1:17" s="156" customFormat="1" x14ac:dyDescent="0.2">
      <c r="A13" s="226" t="s">
        <v>636</v>
      </c>
      <c r="B13" s="228">
        <f>B12/B9</f>
        <v>4.8765751769376836E-2</v>
      </c>
      <c r="C13" s="228">
        <f t="shared" ref="C13:F13" si="0">C12/C9</f>
        <v>9.7443857011204352E-2</v>
      </c>
      <c r="D13" s="228">
        <f t="shared" si="0"/>
        <v>8.4605964026972402E-2</v>
      </c>
      <c r="E13" s="228">
        <f t="shared" si="0"/>
        <v>7.0521298914530697E-2</v>
      </c>
      <c r="F13" s="228">
        <f t="shared" si="0"/>
        <v>6.4812498578673272E-2</v>
      </c>
      <c r="G13" s="233"/>
      <c r="H13" s="228"/>
      <c r="I13" s="228"/>
      <c r="J13" s="228"/>
      <c r="K13" s="228"/>
      <c r="L13" s="228"/>
      <c r="M13" s="228"/>
      <c r="N13" s="228"/>
      <c r="O13" s="228"/>
      <c r="P13" s="228"/>
      <c r="Q13" s="228"/>
    </row>
    <row r="14" spans="1:17" x14ac:dyDescent="0.2">
      <c r="A14" s="221" t="s">
        <v>330</v>
      </c>
      <c r="B14" s="228">
        <v>0.2051</v>
      </c>
      <c r="C14" s="228">
        <v>0.28560000000000002</v>
      </c>
      <c r="D14" s="228">
        <v>0.29120000000000001</v>
      </c>
      <c r="E14" s="228">
        <v>0.2301</v>
      </c>
      <c r="F14" s="228">
        <v>0.19009999999999999</v>
      </c>
      <c r="H14" s="227"/>
      <c r="I14" s="227"/>
      <c r="J14" s="227"/>
      <c r="K14" s="227"/>
      <c r="L14" s="227"/>
      <c r="M14" s="227"/>
      <c r="N14" s="227"/>
      <c r="O14" s="227"/>
      <c r="P14" s="227"/>
      <c r="Q14" s="227"/>
    </row>
    <row r="15" spans="1:17" x14ac:dyDescent="0.2">
      <c r="B15" s="227"/>
      <c r="C15" s="227"/>
      <c r="D15" s="227"/>
      <c r="E15" s="227"/>
      <c r="F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</row>
    <row r="16" spans="1:17" x14ac:dyDescent="0.2">
      <c r="A16" s="221" t="s">
        <v>313</v>
      </c>
      <c r="B16" s="227">
        <v>630</v>
      </c>
      <c r="C16" s="227">
        <v>1188</v>
      </c>
      <c r="D16" s="227">
        <v>1860</v>
      </c>
      <c r="E16" s="227">
        <v>2232</v>
      </c>
      <c r="F16" s="227">
        <v>1025</v>
      </c>
      <c r="G16" s="232" t="s">
        <v>644</v>
      </c>
      <c r="H16" s="227"/>
      <c r="I16" s="227"/>
      <c r="J16" s="227"/>
      <c r="K16" s="227"/>
      <c r="L16" s="227"/>
      <c r="M16" s="227"/>
      <c r="N16" s="227"/>
      <c r="O16" s="227"/>
      <c r="P16" s="227"/>
      <c r="Q16" s="227"/>
    </row>
    <row r="17" spans="1:17" x14ac:dyDescent="0.2">
      <c r="A17" s="221" t="s">
        <v>314</v>
      </c>
      <c r="B17" s="227">
        <v>843</v>
      </c>
      <c r="C17" s="227">
        <v>1342</v>
      </c>
      <c r="D17" s="227">
        <v>1905</v>
      </c>
      <c r="E17" s="227">
        <v>2240</v>
      </c>
      <c r="F17" s="227">
        <v>1005</v>
      </c>
      <c r="G17" s="232" t="s">
        <v>645</v>
      </c>
      <c r="H17" s="227"/>
      <c r="I17" s="227"/>
      <c r="J17" s="227"/>
      <c r="K17" s="227"/>
      <c r="L17" s="227"/>
      <c r="M17" s="227"/>
      <c r="N17" s="227"/>
      <c r="O17" s="227"/>
      <c r="P17" s="227"/>
      <c r="Q17" s="227"/>
    </row>
    <row r="18" spans="1:17" s="199" customFormat="1" x14ac:dyDescent="0.2">
      <c r="A18" s="225" t="s">
        <v>447</v>
      </c>
      <c r="B18" s="229">
        <f>B16/B17*10000</f>
        <v>7473.3096085409252</v>
      </c>
      <c r="C18" s="229">
        <f t="shared" ref="C18:E18" si="1">C16/C17*10000</f>
        <v>8852.4590163934427</v>
      </c>
      <c r="D18" s="229">
        <f t="shared" si="1"/>
        <v>9763.7795275590561</v>
      </c>
      <c r="E18" s="229">
        <f t="shared" si="1"/>
        <v>9964.2857142857138</v>
      </c>
      <c r="F18" s="229">
        <f>F16/F17*10000</f>
        <v>10199.004975124377</v>
      </c>
      <c r="G18" s="234"/>
      <c r="H18" s="229"/>
      <c r="I18" s="229"/>
      <c r="J18" s="229"/>
      <c r="K18" s="229"/>
      <c r="L18" s="229"/>
      <c r="M18" s="229"/>
      <c r="N18" s="229"/>
      <c r="O18" s="229"/>
      <c r="P18" s="229"/>
      <c r="Q18" s="229"/>
    </row>
    <row r="19" spans="1:17" x14ac:dyDescent="0.2">
      <c r="A19" s="221" t="s">
        <v>320</v>
      </c>
      <c r="B19" s="227"/>
      <c r="C19" s="227">
        <v>1051</v>
      </c>
      <c r="D19" s="227">
        <v>1610</v>
      </c>
      <c r="E19" s="227">
        <v>2011</v>
      </c>
      <c r="F19" s="227">
        <v>997</v>
      </c>
      <c r="H19" s="227"/>
      <c r="I19" s="227"/>
      <c r="J19" s="227"/>
      <c r="K19" s="227"/>
      <c r="L19" s="227"/>
      <c r="M19" s="227"/>
      <c r="N19" s="227"/>
      <c r="O19" s="227"/>
      <c r="P19" s="227"/>
      <c r="Q19" s="227"/>
    </row>
    <row r="20" spans="1:17" x14ac:dyDescent="0.2">
      <c r="A20" s="221" t="s">
        <v>635</v>
      </c>
      <c r="B20" s="227">
        <v>428.53</v>
      </c>
      <c r="C20" s="227">
        <v>762.76</v>
      </c>
      <c r="D20" s="227">
        <v>1146.94</v>
      </c>
      <c r="E20" s="227">
        <v>1346.45</v>
      </c>
      <c r="F20" s="227">
        <v>1428.2</v>
      </c>
      <c r="H20" s="227"/>
      <c r="I20" s="227"/>
      <c r="J20" s="227"/>
      <c r="K20" s="227"/>
      <c r="L20" s="227"/>
      <c r="M20" s="227"/>
      <c r="N20" s="227"/>
      <c r="O20" s="227"/>
      <c r="P20" s="227"/>
      <c r="Q20" s="227"/>
    </row>
    <row r="21" spans="1:17" x14ac:dyDescent="0.2">
      <c r="B21" s="227"/>
      <c r="C21" s="227"/>
      <c r="D21" s="227"/>
      <c r="E21" s="227"/>
      <c r="F21" s="227"/>
      <c r="H21" s="227"/>
      <c r="I21" s="227"/>
      <c r="J21" s="227"/>
      <c r="K21" s="227"/>
      <c r="L21" s="227"/>
      <c r="M21" s="227"/>
      <c r="N21" s="227"/>
      <c r="O21" s="227"/>
      <c r="P21" s="227"/>
      <c r="Q21" s="227"/>
    </row>
    <row r="22" spans="1:17" x14ac:dyDescent="0.2">
      <c r="A22" s="221" t="s">
        <v>315</v>
      </c>
      <c r="B22" s="227">
        <v>79</v>
      </c>
      <c r="C22" s="227">
        <v>110</v>
      </c>
      <c r="D22" s="227">
        <v>192</v>
      </c>
      <c r="E22" s="227">
        <v>148</v>
      </c>
      <c r="F22" s="227">
        <v>39</v>
      </c>
      <c r="H22" s="227"/>
      <c r="I22" s="227"/>
      <c r="J22" s="227"/>
      <c r="K22" s="227"/>
      <c r="L22" s="227"/>
      <c r="M22" s="227"/>
      <c r="N22" s="227"/>
      <c r="O22" s="227"/>
      <c r="P22" s="227"/>
      <c r="Q22" s="227"/>
    </row>
    <row r="23" spans="1:17" x14ac:dyDescent="0.2">
      <c r="A23" s="221" t="s">
        <v>316</v>
      </c>
      <c r="B23" s="227">
        <v>460</v>
      </c>
      <c r="C23" s="227">
        <v>700</v>
      </c>
      <c r="D23" s="227">
        <v>888</v>
      </c>
      <c r="E23" s="227">
        <v>892</v>
      </c>
      <c r="F23" s="227">
        <v>354</v>
      </c>
      <c r="H23" s="227"/>
      <c r="I23" s="227"/>
      <c r="J23" s="227"/>
      <c r="K23" s="227"/>
      <c r="L23" s="227"/>
      <c r="M23" s="227"/>
      <c r="N23" s="227"/>
      <c r="O23" s="227"/>
      <c r="P23" s="227"/>
      <c r="Q23" s="227"/>
    </row>
    <row r="24" spans="1:17" hidden="1" x14ac:dyDescent="0.2">
      <c r="A24" s="221" t="s">
        <v>340</v>
      </c>
      <c r="B24" s="227"/>
      <c r="C24" s="227">
        <v>447</v>
      </c>
      <c r="D24" s="227">
        <v>562</v>
      </c>
      <c r="E24" s="227"/>
      <c r="F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</row>
    <row r="25" spans="1:17" x14ac:dyDescent="0.2">
      <c r="A25" s="221" t="s">
        <v>317</v>
      </c>
      <c r="B25" s="227">
        <v>1245</v>
      </c>
      <c r="C25" s="227">
        <v>2054</v>
      </c>
      <c r="D25" s="227">
        <v>3323</v>
      </c>
      <c r="E25" s="227">
        <v>2364</v>
      </c>
      <c r="F25" s="227">
        <v>835</v>
      </c>
      <c r="H25" s="227"/>
      <c r="I25" s="227"/>
      <c r="J25" s="227"/>
      <c r="K25" s="227"/>
      <c r="L25" s="227"/>
      <c r="M25" s="227"/>
      <c r="N25" s="227"/>
      <c r="O25" s="227"/>
      <c r="P25" s="227"/>
      <c r="Q25" s="227"/>
    </row>
    <row r="26" spans="1:17" s="199" customFormat="1" x14ac:dyDescent="0.2">
      <c r="A26" s="225" t="s">
        <v>318</v>
      </c>
      <c r="B26" s="229">
        <f t="shared" ref="B26:E26" si="2">B23/B25*10000</f>
        <v>3694.7791164658634</v>
      </c>
      <c r="C26" s="229">
        <f t="shared" si="2"/>
        <v>3407.9844206426487</v>
      </c>
      <c r="D26" s="229">
        <f t="shared" si="2"/>
        <v>2672.2840806500149</v>
      </c>
      <c r="E26" s="229">
        <f t="shared" si="2"/>
        <v>3773.2656514382402</v>
      </c>
      <c r="F26" s="229">
        <f>F23/F25*10000</f>
        <v>4239.5209580838318</v>
      </c>
      <c r="G26" s="234"/>
      <c r="H26" s="229"/>
      <c r="I26" s="229"/>
      <c r="J26" s="229"/>
      <c r="K26" s="229"/>
      <c r="L26" s="229"/>
      <c r="M26" s="229"/>
      <c r="N26" s="229"/>
      <c r="O26" s="229"/>
      <c r="P26" s="229"/>
      <c r="Q26" s="229"/>
    </row>
    <row r="27" spans="1:17" x14ac:dyDescent="0.2">
      <c r="B27" s="227"/>
      <c r="C27" s="227"/>
      <c r="D27" s="227"/>
      <c r="E27" s="227"/>
      <c r="F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</row>
    <row r="28" spans="1:17" x14ac:dyDescent="0.2">
      <c r="A28" s="221" t="s">
        <v>319</v>
      </c>
      <c r="B28" s="227">
        <v>3300</v>
      </c>
      <c r="C28" s="227">
        <v>4100</v>
      </c>
      <c r="D28" s="227">
        <v>6700</v>
      </c>
      <c r="E28" s="227">
        <v>7100</v>
      </c>
      <c r="F28" s="227">
        <v>7311</v>
      </c>
      <c r="H28" s="227"/>
      <c r="I28" s="227"/>
      <c r="J28" s="227"/>
      <c r="K28" s="227"/>
      <c r="L28" s="227"/>
      <c r="M28" s="227"/>
      <c r="N28" s="227"/>
      <c r="O28" s="227"/>
      <c r="P28" s="227"/>
      <c r="Q28" s="227"/>
    </row>
    <row r="29" spans="1:17" x14ac:dyDescent="0.2">
      <c r="A29" s="221" t="s">
        <v>325</v>
      </c>
      <c r="B29" s="227">
        <v>94</v>
      </c>
      <c r="C29" s="227">
        <v>188</v>
      </c>
      <c r="D29" s="227">
        <v>320</v>
      </c>
      <c r="E29" s="227">
        <v>421</v>
      </c>
      <c r="F29" s="227">
        <v>427</v>
      </c>
      <c r="H29" s="227"/>
      <c r="I29" s="227"/>
      <c r="J29" s="227"/>
      <c r="K29" s="227"/>
      <c r="L29" s="227"/>
      <c r="M29" s="227"/>
      <c r="N29" s="227"/>
      <c r="O29" s="227"/>
      <c r="P29" s="227"/>
      <c r="Q29" s="227"/>
    </row>
    <row r="30" spans="1:17" ht="33" x14ac:dyDescent="0.2">
      <c r="A30" s="221" t="s">
        <v>326</v>
      </c>
      <c r="B30" s="227">
        <v>1096</v>
      </c>
      <c r="C30" s="227">
        <v>2700</v>
      </c>
      <c r="D30" s="227">
        <v>3163</v>
      </c>
      <c r="E30" s="227">
        <v>2964</v>
      </c>
      <c r="F30" s="227">
        <v>932</v>
      </c>
      <c r="G30" s="235" t="s">
        <v>646</v>
      </c>
      <c r="H30" s="227"/>
      <c r="I30" s="227"/>
      <c r="J30" s="227"/>
      <c r="K30" s="227"/>
      <c r="L30" s="227"/>
      <c r="M30" s="227"/>
      <c r="N30" s="227"/>
      <c r="O30" s="227"/>
      <c r="P30" s="227"/>
      <c r="Q30" s="227"/>
    </row>
    <row r="31" spans="1:17" x14ac:dyDescent="0.2">
      <c r="A31" s="221" t="s">
        <v>328</v>
      </c>
      <c r="B31" s="227">
        <v>1746</v>
      </c>
      <c r="C31" s="227">
        <v>3740</v>
      </c>
      <c r="D31" s="227">
        <v>5776</v>
      </c>
      <c r="E31" s="227">
        <v>6852</v>
      </c>
      <c r="F31" s="227">
        <v>6762</v>
      </c>
      <c r="H31" s="227"/>
      <c r="I31" s="227"/>
      <c r="J31" s="227"/>
      <c r="K31" s="227"/>
      <c r="L31" s="227"/>
      <c r="M31" s="227"/>
      <c r="N31" s="227"/>
      <c r="O31" s="227"/>
      <c r="P31" s="227"/>
      <c r="Q31" s="227"/>
    </row>
    <row r="32" spans="1:17" ht="33" x14ac:dyDescent="0.2">
      <c r="A32" s="221" t="s">
        <v>327</v>
      </c>
      <c r="B32" s="227">
        <v>546</v>
      </c>
      <c r="C32" s="227">
        <v>810</v>
      </c>
      <c r="D32" s="227">
        <v>1208</v>
      </c>
      <c r="E32" s="227">
        <v>1995</v>
      </c>
      <c r="F32" s="227">
        <v>1030</v>
      </c>
      <c r="G32" s="235" t="s">
        <v>647</v>
      </c>
      <c r="H32" s="227"/>
      <c r="I32" s="227"/>
      <c r="J32" s="227"/>
      <c r="K32" s="227"/>
      <c r="L32" s="227"/>
      <c r="M32" s="227"/>
      <c r="N32" s="227"/>
      <c r="O32" s="227"/>
      <c r="P32" s="227"/>
      <c r="Q32" s="227"/>
    </row>
    <row r="33" spans="1:17" x14ac:dyDescent="0.2">
      <c r="B33" s="227"/>
      <c r="C33" s="227"/>
      <c r="D33" s="227"/>
      <c r="E33" s="227"/>
      <c r="F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</row>
    <row r="34" spans="1:17" x14ac:dyDescent="0.2">
      <c r="A34" s="221" t="s">
        <v>331</v>
      </c>
      <c r="B34" s="227">
        <v>1000</v>
      </c>
      <c r="C34" s="227">
        <v>1500</v>
      </c>
      <c r="D34" s="227">
        <v>2200</v>
      </c>
      <c r="E34" s="227">
        <v>2500</v>
      </c>
      <c r="F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</row>
    <row r="35" spans="1:17" x14ac:dyDescent="0.2">
      <c r="A35" s="221" t="s">
        <v>332</v>
      </c>
      <c r="B35" s="227">
        <v>1500</v>
      </c>
      <c r="C35" s="227">
        <v>3000</v>
      </c>
      <c r="D35" s="227">
        <v>3600</v>
      </c>
      <c r="E35" s="227">
        <v>2900</v>
      </c>
      <c r="F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</row>
    <row r="36" spans="1:17" x14ac:dyDescent="0.2">
      <c r="A36" s="221" t="s">
        <v>333</v>
      </c>
      <c r="B36" s="227">
        <v>660</v>
      </c>
      <c r="C36" s="227">
        <v>5500</v>
      </c>
      <c r="D36" s="227"/>
      <c r="E36" s="227">
        <v>2600</v>
      </c>
      <c r="F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</row>
    <row r="37" spans="1:17" x14ac:dyDescent="0.2">
      <c r="A37" s="221" t="s">
        <v>334</v>
      </c>
      <c r="B37" s="227">
        <v>2500</v>
      </c>
      <c r="C37" s="227"/>
      <c r="D37" s="227">
        <v>7300</v>
      </c>
      <c r="E37" s="227">
        <v>7100</v>
      </c>
      <c r="F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</row>
    <row r="38" spans="1:17" x14ac:dyDescent="0.2">
      <c r="A38" s="221" t="s">
        <v>341</v>
      </c>
      <c r="B38" s="227"/>
      <c r="C38" s="227">
        <v>3200</v>
      </c>
      <c r="D38" s="227"/>
      <c r="E38" s="227"/>
      <c r="F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</row>
    <row r="39" spans="1:17" x14ac:dyDescent="0.2">
      <c r="B39" s="227"/>
      <c r="C39" s="227"/>
      <c r="D39" s="227"/>
      <c r="E39" s="227"/>
      <c r="F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</row>
    <row r="40" spans="1:17" x14ac:dyDescent="0.2">
      <c r="A40" s="221" t="s">
        <v>329</v>
      </c>
      <c r="B40" s="227">
        <v>677.16</v>
      </c>
      <c r="C40" s="227">
        <v>820.39</v>
      </c>
      <c r="D40" s="227">
        <v>987.62</v>
      </c>
      <c r="E40" s="227">
        <v>976.64</v>
      </c>
      <c r="F40" s="227">
        <v>941.44</v>
      </c>
      <c r="G40" s="232" t="s">
        <v>639</v>
      </c>
      <c r="H40" s="227"/>
      <c r="I40" s="227"/>
      <c r="J40" s="227"/>
      <c r="K40" s="227"/>
      <c r="L40" s="227"/>
      <c r="M40" s="227"/>
      <c r="N40" s="227"/>
      <c r="O40" s="227"/>
      <c r="P40" s="227"/>
      <c r="Q40" s="227"/>
    </row>
    <row r="41" spans="1:17" x14ac:dyDescent="0.2">
      <c r="A41" s="221" t="s">
        <v>321</v>
      </c>
      <c r="B41" s="227">
        <v>178</v>
      </c>
      <c r="C41" s="227">
        <v>276</v>
      </c>
      <c r="D41" s="227">
        <v>327</v>
      </c>
      <c r="E41" s="227">
        <v>325</v>
      </c>
      <c r="F41" s="227">
        <v>268</v>
      </c>
      <c r="G41" s="232" t="s">
        <v>640</v>
      </c>
      <c r="H41" s="227"/>
      <c r="I41" s="227"/>
      <c r="J41" s="227"/>
      <c r="K41" s="227"/>
      <c r="L41" s="227"/>
      <c r="M41" s="227"/>
      <c r="N41" s="227"/>
      <c r="O41" s="227"/>
      <c r="P41" s="227"/>
      <c r="Q41" s="227"/>
    </row>
    <row r="42" spans="1:17" x14ac:dyDescent="0.2">
      <c r="A42" s="221" t="s">
        <v>338</v>
      </c>
      <c r="B42" s="227">
        <v>73.989999999999995</v>
      </c>
      <c r="C42" s="227">
        <v>99.59</v>
      </c>
      <c r="D42" s="227">
        <v>137.08000000000001</v>
      </c>
      <c r="E42" s="227">
        <v>161.33000000000001</v>
      </c>
      <c r="F42" s="227">
        <v>176.2</v>
      </c>
      <c r="H42" s="227"/>
      <c r="I42" s="227"/>
      <c r="J42" s="227"/>
      <c r="K42" s="227"/>
      <c r="L42" s="227"/>
      <c r="M42" s="227"/>
      <c r="N42" s="227"/>
      <c r="O42" s="227"/>
      <c r="P42" s="227"/>
      <c r="Q42" s="227"/>
    </row>
    <row r="43" spans="1:17" x14ac:dyDescent="0.2">
      <c r="A43" s="221" t="s">
        <v>339</v>
      </c>
      <c r="B43" s="228">
        <v>7.0400000000000004E-2</v>
      </c>
      <c r="C43" s="228">
        <v>7.3200000000000001E-2</v>
      </c>
      <c r="D43" s="228">
        <v>7.7600000000000002E-2</v>
      </c>
      <c r="E43" s="228">
        <v>7.6100000000000001E-2</v>
      </c>
      <c r="F43" s="228">
        <v>7.51E-2</v>
      </c>
      <c r="H43" s="227"/>
      <c r="I43" s="227"/>
      <c r="J43" s="227"/>
      <c r="K43" s="227"/>
      <c r="L43" s="227"/>
      <c r="M43" s="227"/>
      <c r="N43" s="227"/>
      <c r="O43" s="227"/>
      <c r="P43" s="227"/>
      <c r="Q43" s="227"/>
    </row>
    <row r="44" spans="1:17" x14ac:dyDescent="0.2">
      <c r="B44" s="228"/>
      <c r="C44" s="228"/>
      <c r="D44" s="228"/>
      <c r="E44" s="228"/>
      <c r="F44" s="227"/>
      <c r="H44" s="227"/>
      <c r="I44" s="227"/>
      <c r="J44" s="227"/>
      <c r="K44" s="227"/>
      <c r="L44" s="227"/>
      <c r="M44" s="227"/>
      <c r="N44" s="227"/>
      <c r="O44" s="227"/>
      <c r="P44" s="227"/>
      <c r="Q44" s="227"/>
    </row>
    <row r="45" spans="1:17" x14ac:dyDescent="0.2">
      <c r="A45" s="221" t="s">
        <v>336</v>
      </c>
      <c r="B45" s="227">
        <v>18.07</v>
      </c>
      <c r="C45" s="227">
        <v>25.61</v>
      </c>
      <c r="D45" s="227">
        <v>42.14</v>
      </c>
      <c r="E45" s="227">
        <v>34.61</v>
      </c>
      <c r="F45" s="227">
        <v>12.03</v>
      </c>
      <c r="G45" s="232" t="s">
        <v>637</v>
      </c>
      <c r="H45" s="227"/>
      <c r="I45" s="227"/>
      <c r="J45" s="227"/>
      <c r="K45" s="227"/>
      <c r="L45" s="227"/>
      <c r="M45" s="227"/>
      <c r="N45" s="227"/>
      <c r="O45" s="227"/>
      <c r="P45" s="227"/>
      <c r="Q45" s="227"/>
    </row>
    <row r="46" spans="1:17" x14ac:dyDescent="0.2">
      <c r="A46" s="221" t="s">
        <v>337</v>
      </c>
      <c r="B46" s="227">
        <v>15.12</v>
      </c>
      <c r="C46" s="227">
        <v>23.39</v>
      </c>
      <c r="D46" s="227">
        <v>26.89</v>
      </c>
      <c r="E46" s="227">
        <v>30.14</v>
      </c>
      <c r="F46" s="227">
        <v>16.37</v>
      </c>
      <c r="G46" s="232" t="s">
        <v>638</v>
      </c>
      <c r="H46" s="227"/>
      <c r="I46" s="227"/>
      <c r="J46" s="227"/>
      <c r="K46" s="227"/>
      <c r="L46" s="227"/>
      <c r="M46" s="227"/>
      <c r="N46" s="227"/>
      <c r="O46" s="227"/>
      <c r="P46" s="227"/>
      <c r="Q46" s="227"/>
    </row>
    <row r="47" spans="1:17" x14ac:dyDescent="0.2">
      <c r="B47" s="227"/>
      <c r="C47" s="227"/>
      <c r="D47" s="227"/>
      <c r="E47" s="227"/>
      <c r="F47" s="227"/>
      <c r="H47" s="227"/>
      <c r="I47" s="227"/>
      <c r="J47" s="227"/>
      <c r="K47" s="227"/>
      <c r="L47" s="227"/>
      <c r="M47" s="227"/>
      <c r="N47" s="227"/>
      <c r="O47" s="227"/>
      <c r="P47" s="227"/>
      <c r="Q47" s="227"/>
    </row>
    <row r="48" spans="1:17" x14ac:dyDescent="0.2">
      <c r="A48" s="221" t="s">
        <v>322</v>
      </c>
      <c r="B48" s="227"/>
      <c r="C48" s="227"/>
      <c r="D48" s="227"/>
      <c r="E48" s="227">
        <v>1.34</v>
      </c>
      <c r="F48" s="227">
        <v>1.38</v>
      </c>
      <c r="H48" s="227"/>
      <c r="I48" s="227"/>
      <c r="J48" s="227"/>
      <c r="K48" s="227"/>
      <c r="L48" s="227"/>
      <c r="M48" s="227"/>
      <c r="N48" s="227"/>
      <c r="O48" s="227"/>
      <c r="P48" s="227"/>
      <c r="Q48" s="227"/>
    </row>
    <row r="49" spans="1:17" x14ac:dyDescent="0.2">
      <c r="A49" s="221" t="s">
        <v>323</v>
      </c>
      <c r="B49" s="227"/>
      <c r="C49" s="228">
        <v>0.50570000000000004</v>
      </c>
      <c r="D49" s="230">
        <v>0.48</v>
      </c>
      <c r="E49" s="228">
        <v>0.69850000000000001</v>
      </c>
      <c r="F49" s="228">
        <v>0.69550000000000001</v>
      </c>
      <c r="H49" s="227"/>
      <c r="I49" s="227"/>
      <c r="J49" s="227"/>
      <c r="K49" s="227"/>
      <c r="L49" s="227"/>
      <c r="M49" s="227"/>
      <c r="N49" s="227"/>
      <c r="O49" s="227"/>
      <c r="P49" s="227"/>
      <c r="Q49" s="227"/>
    </row>
    <row r="50" spans="1:17" x14ac:dyDescent="0.2">
      <c r="A50" s="221" t="s">
        <v>324</v>
      </c>
      <c r="B50" s="227"/>
      <c r="C50" s="227"/>
      <c r="D50" s="227"/>
      <c r="E50" s="228">
        <v>0.75070000000000003</v>
      </c>
      <c r="F50" s="228">
        <v>0.77080000000000004</v>
      </c>
      <c r="H50" s="227"/>
      <c r="I50" s="227"/>
      <c r="J50" s="227"/>
      <c r="K50" s="227"/>
      <c r="L50" s="227"/>
      <c r="M50" s="227"/>
      <c r="N50" s="227"/>
      <c r="O50" s="227"/>
      <c r="P50" s="227"/>
      <c r="Q50" s="227"/>
    </row>
  </sheetData>
  <phoneticPr fontId="1" type="noConversion"/>
  <conditionalFormatting sqref="A25:XFD25">
    <cfRule type="colorScale" priority="4">
      <colorScale>
        <cfvo type="min"/>
        <cfvo type="max"/>
        <color rgb="FFFFEF9C"/>
        <color rgb="FF63BE7B"/>
      </colorScale>
    </cfRule>
  </conditionalFormatting>
  <conditionalFormatting sqref="A17:XFD17">
    <cfRule type="colorScale" priority="3">
      <colorScale>
        <cfvo type="min"/>
        <cfvo type="max"/>
        <color rgb="FFFFEF9C"/>
        <color rgb="FF63BE7B"/>
      </colorScale>
    </cfRule>
  </conditionalFormatting>
  <conditionalFormatting sqref="A5">
    <cfRule type="colorScale" priority="2">
      <colorScale>
        <cfvo type="min"/>
        <cfvo type="max"/>
        <color rgb="FFFFEF9C"/>
        <color rgb="FF63BE7B"/>
      </colorScale>
    </cfRule>
  </conditionalFormatting>
  <conditionalFormatting sqref="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D75A8-B7A9-4E91-BE63-8DBCBA1A8C7F}">
  <dimension ref="A1:D32"/>
  <sheetViews>
    <sheetView workbookViewId="0">
      <selection activeCell="D21" sqref="D21"/>
    </sheetView>
  </sheetViews>
  <sheetFormatPr defaultRowHeight="14.25" x14ac:dyDescent="0.2"/>
  <cols>
    <col min="1" max="1" width="28.125" style="1" customWidth="1"/>
    <col min="2" max="16384" width="9" style="2"/>
  </cols>
  <sheetData>
    <row r="1" spans="1:4" s="15" customFormat="1" x14ac:dyDescent="0.2">
      <c r="A1" s="14" t="s">
        <v>436</v>
      </c>
      <c r="B1" s="15" t="s">
        <v>3</v>
      </c>
      <c r="C1" s="15" t="s">
        <v>71</v>
      </c>
      <c r="D1" s="15" t="s">
        <v>72</v>
      </c>
    </row>
    <row r="2" spans="1:4" s="15" customFormat="1" x14ac:dyDescent="0.2">
      <c r="A2" s="14" t="s">
        <v>446</v>
      </c>
      <c r="B2" s="15">
        <v>25.26</v>
      </c>
      <c r="C2" s="15">
        <v>62.56</v>
      </c>
      <c r="D2" s="15">
        <v>65.66</v>
      </c>
    </row>
    <row r="3" spans="1:4" x14ac:dyDescent="0.2">
      <c r="A3" s="1" t="s">
        <v>437</v>
      </c>
      <c r="B3" s="2">
        <v>19.28</v>
      </c>
      <c r="C3" s="2">
        <v>39.01</v>
      </c>
      <c r="D3" s="2">
        <v>37.54</v>
      </c>
    </row>
    <row r="4" spans="1:4" x14ac:dyDescent="0.2">
      <c r="A4" s="1" t="s">
        <v>269</v>
      </c>
      <c r="B4" s="2">
        <v>25.78</v>
      </c>
      <c r="C4" s="2">
        <v>87.28</v>
      </c>
      <c r="D4" s="2">
        <v>109.07</v>
      </c>
    </row>
    <row r="5" spans="1:4" x14ac:dyDescent="0.2">
      <c r="A5" s="1" t="s">
        <v>445</v>
      </c>
      <c r="B5" s="2">
        <v>41.75</v>
      </c>
      <c r="C5" s="2">
        <v>121.43</v>
      </c>
      <c r="D5" s="2">
        <v>192.75</v>
      </c>
    </row>
    <row r="6" spans="1:4" x14ac:dyDescent="0.2">
      <c r="A6" s="1" t="s">
        <v>58</v>
      </c>
      <c r="B6" s="2">
        <v>13.34</v>
      </c>
      <c r="C6" s="2">
        <v>20.3</v>
      </c>
      <c r="D6" s="2">
        <v>22.54</v>
      </c>
    </row>
    <row r="7" spans="1:4" x14ac:dyDescent="0.2">
      <c r="A7" s="1" t="s">
        <v>59</v>
      </c>
      <c r="B7" s="2">
        <v>16.48</v>
      </c>
      <c r="C7" s="2">
        <v>25.49</v>
      </c>
      <c r="D7" s="2">
        <v>28.48</v>
      </c>
    </row>
    <row r="9" spans="1:4" x14ac:dyDescent="0.2">
      <c r="A9" s="1" t="s">
        <v>265</v>
      </c>
      <c r="B9" s="2">
        <v>1015</v>
      </c>
      <c r="C9" s="2">
        <v>1525</v>
      </c>
      <c r="D9" s="2">
        <v>1688</v>
      </c>
    </row>
    <row r="10" spans="1:4" x14ac:dyDescent="0.2">
      <c r="A10" s="1" t="s">
        <v>227</v>
      </c>
      <c r="B10" s="2">
        <v>1014.6</v>
      </c>
      <c r="C10" s="2">
        <v>1485.1</v>
      </c>
      <c r="D10" s="2">
        <v>1350</v>
      </c>
    </row>
    <row r="11" spans="1:4" x14ac:dyDescent="0.2">
      <c r="A11" s="1" t="s">
        <v>442</v>
      </c>
      <c r="C11" s="2">
        <v>932</v>
      </c>
      <c r="D11" s="2">
        <v>1148</v>
      </c>
    </row>
    <row r="12" spans="1:4" x14ac:dyDescent="0.2">
      <c r="A12" s="1" t="s">
        <v>221</v>
      </c>
      <c r="B12" s="143"/>
      <c r="C12" s="143">
        <f>C11/C9</f>
        <v>0.61114754098360657</v>
      </c>
      <c r="D12" s="143">
        <f>D11/D9</f>
        <v>0.68009478672985779</v>
      </c>
    </row>
    <row r="13" spans="1:4" x14ac:dyDescent="0.2">
      <c r="A13" s="1" t="s">
        <v>235</v>
      </c>
      <c r="B13" s="7">
        <v>10002</v>
      </c>
      <c r="C13" s="7">
        <v>10270</v>
      </c>
      <c r="D13" s="7">
        <v>12500</v>
      </c>
    </row>
    <row r="14" spans="1:4" x14ac:dyDescent="0.2">
      <c r="B14" s="18"/>
      <c r="C14" s="18"/>
      <c r="D14" s="18"/>
    </row>
    <row r="15" spans="1:4" x14ac:dyDescent="0.2">
      <c r="A15" s="1" t="s">
        <v>160</v>
      </c>
      <c r="B15" s="2">
        <v>270.05</v>
      </c>
      <c r="C15" s="2">
        <v>401.81</v>
      </c>
      <c r="D15" s="2">
        <v>540.91999999999996</v>
      </c>
    </row>
    <row r="16" spans="1:4" x14ac:dyDescent="0.2">
      <c r="A16" s="1" t="s">
        <v>161</v>
      </c>
      <c r="B16" s="2">
        <v>144.68</v>
      </c>
      <c r="C16" s="2">
        <v>215.03</v>
      </c>
      <c r="D16" s="2">
        <v>237.84</v>
      </c>
    </row>
    <row r="17" spans="1:4" x14ac:dyDescent="0.2">
      <c r="A17" s="1" t="s">
        <v>162</v>
      </c>
      <c r="B17" s="2">
        <v>125.36</v>
      </c>
      <c r="C17" s="2">
        <v>186.77</v>
      </c>
      <c r="D17" s="2">
        <v>303.08</v>
      </c>
    </row>
    <row r="18" spans="1:4" x14ac:dyDescent="0.2">
      <c r="A18" s="1" t="s">
        <v>271</v>
      </c>
    </row>
    <row r="19" spans="1:4" x14ac:dyDescent="0.2">
      <c r="A19" s="1" t="s">
        <v>39</v>
      </c>
      <c r="B19" s="2">
        <v>30.27</v>
      </c>
      <c r="C19" s="2">
        <v>45.21</v>
      </c>
      <c r="D19" s="2">
        <v>56.67</v>
      </c>
    </row>
    <row r="20" spans="1:4" x14ac:dyDescent="0.2">
      <c r="A20" s="1" t="s">
        <v>441</v>
      </c>
      <c r="B20" s="17">
        <v>9.9000000000000005E-2</v>
      </c>
      <c r="C20" s="17">
        <v>9.4E-2</v>
      </c>
      <c r="D20" s="17">
        <v>8.5000000000000006E-2</v>
      </c>
    </row>
    <row r="22" spans="1:4" x14ac:dyDescent="0.2">
      <c r="A22" s="1" t="s">
        <v>438</v>
      </c>
      <c r="C22" s="2">
        <v>764</v>
      </c>
      <c r="D22" s="2">
        <v>712</v>
      </c>
    </row>
    <row r="23" spans="1:4" x14ac:dyDescent="0.2">
      <c r="A23" s="1" t="s">
        <v>439</v>
      </c>
      <c r="C23" s="2">
        <v>139</v>
      </c>
      <c r="D23" s="2">
        <v>117</v>
      </c>
    </row>
    <row r="24" spans="1:4" x14ac:dyDescent="0.2">
      <c r="A24" s="1" t="s">
        <v>440</v>
      </c>
      <c r="C24" s="2">
        <v>1659.39</v>
      </c>
      <c r="D24" s="2">
        <v>1493.67</v>
      </c>
    </row>
    <row r="25" spans="1:4" x14ac:dyDescent="0.2">
      <c r="A25" s="1" t="s">
        <v>280</v>
      </c>
      <c r="C25" s="2">
        <v>4607</v>
      </c>
      <c r="D25" s="2">
        <v>4767</v>
      </c>
    </row>
    <row r="27" spans="1:4" x14ac:dyDescent="0.2">
      <c r="A27" s="1" t="s">
        <v>278</v>
      </c>
      <c r="C27" s="2">
        <v>458</v>
      </c>
      <c r="D27" s="2">
        <v>480</v>
      </c>
    </row>
    <row r="28" spans="1:4" x14ac:dyDescent="0.2">
      <c r="A28" s="1" t="s">
        <v>443</v>
      </c>
      <c r="C28" s="2">
        <v>5703.37</v>
      </c>
      <c r="D28" s="2">
        <v>6514.33</v>
      </c>
    </row>
    <row r="29" spans="1:4" x14ac:dyDescent="0.2">
      <c r="A29" s="1" t="s">
        <v>444</v>
      </c>
      <c r="C29" s="2">
        <v>4564.8599999999997</v>
      </c>
      <c r="D29" s="2">
        <v>5184.05</v>
      </c>
    </row>
    <row r="31" spans="1:4" x14ac:dyDescent="0.2">
      <c r="A31" s="1" t="s">
        <v>5</v>
      </c>
      <c r="B31" s="17">
        <v>0.22900000000000001</v>
      </c>
      <c r="C31" s="17">
        <v>0.23300000000000001</v>
      </c>
      <c r="D31" s="17">
        <v>0.21</v>
      </c>
    </row>
    <row r="32" spans="1:4" x14ac:dyDescent="0.2">
      <c r="A32" s="1" t="s">
        <v>17</v>
      </c>
      <c r="B32" s="3">
        <v>0.58099999999999996</v>
      </c>
      <c r="C32" s="17">
        <v>0.65600000000000003</v>
      </c>
      <c r="D32" s="17">
        <v>0.65800000000000003</v>
      </c>
    </row>
  </sheetData>
  <phoneticPr fontId="1" type="noConversion"/>
  <conditionalFormatting sqref="E24:XFD24 A24">
    <cfRule type="colorScale" priority="4">
      <colorScale>
        <cfvo type="min"/>
        <cfvo type="max"/>
        <color rgb="FFFFEF9C"/>
        <color rgb="FF63BE7B"/>
      </colorScale>
    </cfRule>
  </conditionalFormatting>
  <conditionalFormatting sqref="E16:XFD16 A16">
    <cfRule type="colorScale" priority="1">
      <colorScale>
        <cfvo type="min"/>
        <cfvo type="max"/>
        <color rgb="FFFCFCFF"/>
        <color rgb="FFF8696B"/>
      </colorScale>
    </cfRule>
  </conditionalFormatting>
  <conditionalFormatting sqref="E12:XFD12 A12">
    <cfRule type="colorScale" priority="1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B759-A533-405F-A9AC-D159C7A04FA7}">
  <dimension ref="A1:H75"/>
  <sheetViews>
    <sheetView workbookViewId="0">
      <pane ySplit="1" topLeftCell="A21" activePane="bottomLeft" state="frozen"/>
      <selection pane="bottomLeft" activeCell="I40" sqref="I40"/>
    </sheetView>
  </sheetViews>
  <sheetFormatPr defaultRowHeight="16.5" x14ac:dyDescent="0.2"/>
  <cols>
    <col min="1" max="1" width="26.625" style="99" customWidth="1"/>
    <col min="2" max="2" width="11.75" style="104" customWidth="1"/>
    <col min="3" max="3" width="10.625" style="104" customWidth="1"/>
    <col min="4" max="4" width="10.25" style="104" customWidth="1"/>
    <col min="5" max="5" width="9.875" style="104" customWidth="1"/>
    <col min="6" max="6" width="10.25" style="104" customWidth="1"/>
    <col min="7" max="7" width="9" style="43"/>
    <col min="8" max="8" width="13.5" style="43" customWidth="1"/>
    <col min="9" max="16384" width="9" style="43"/>
  </cols>
  <sheetData>
    <row r="1" spans="1:8" s="95" customFormat="1" ht="22.5" customHeight="1" x14ac:dyDescent="0.2">
      <c r="A1" s="97" t="s">
        <v>93</v>
      </c>
      <c r="B1" s="100" t="s">
        <v>178</v>
      </c>
      <c r="C1" s="100" t="s">
        <v>130</v>
      </c>
      <c r="D1" s="100" t="s">
        <v>131</v>
      </c>
      <c r="E1" s="100" t="s">
        <v>132</v>
      </c>
      <c r="F1" s="100" t="s">
        <v>234</v>
      </c>
      <c r="G1" s="100" t="s">
        <v>613</v>
      </c>
      <c r="H1" s="95" t="s">
        <v>622</v>
      </c>
    </row>
    <row r="2" spans="1:8" ht="18" customHeight="1" x14ac:dyDescent="0.2">
      <c r="A2" s="56" t="s">
        <v>129</v>
      </c>
      <c r="B2" s="101">
        <v>1134.44</v>
      </c>
      <c r="C2" s="101">
        <v>1326.75</v>
      </c>
      <c r="D2" s="101">
        <v>1557.64</v>
      </c>
      <c r="E2" s="101">
        <v>1880.58</v>
      </c>
      <c r="F2" s="101">
        <v>2245.11</v>
      </c>
      <c r="G2" s="51">
        <v>2218.66</v>
      </c>
    </row>
    <row r="3" spans="1:8" ht="18" customHeight="1" x14ac:dyDescent="0.2">
      <c r="A3" s="56" t="s">
        <v>614</v>
      </c>
      <c r="B3" s="101">
        <v>482.32</v>
      </c>
      <c r="C3" s="101">
        <v>539.99</v>
      </c>
      <c r="D3" s="101">
        <v>798.57</v>
      </c>
      <c r="E3" s="101">
        <v>825.21</v>
      </c>
      <c r="F3" s="101">
        <v>1253.3399999999999</v>
      </c>
      <c r="G3" s="51">
        <v>1418.55</v>
      </c>
    </row>
    <row r="4" spans="1:8" ht="18" customHeight="1" x14ac:dyDescent="0.35">
      <c r="A4" s="85" t="s">
        <v>557</v>
      </c>
      <c r="B4" s="101">
        <v>870.32</v>
      </c>
      <c r="C4" s="101">
        <v>1741.21</v>
      </c>
      <c r="D4" s="101">
        <v>1884.17</v>
      </c>
      <c r="E4" s="101">
        <v>1661.95</v>
      </c>
      <c r="F4" s="101">
        <v>1952.31</v>
      </c>
      <c r="G4" s="51">
        <v>1952.16</v>
      </c>
    </row>
    <row r="5" spans="1:8" ht="18" customHeight="1" x14ac:dyDescent="0.35">
      <c r="A5" s="85" t="s">
        <v>589</v>
      </c>
      <c r="B5" s="101">
        <v>75.42</v>
      </c>
      <c r="C5" s="101">
        <v>97.95</v>
      </c>
      <c r="D5" s="101">
        <v>127.49</v>
      </c>
      <c r="E5" s="101">
        <v>64.56</v>
      </c>
      <c r="F5" s="101">
        <v>95.68</v>
      </c>
      <c r="G5" s="51">
        <v>82.3</v>
      </c>
    </row>
    <row r="6" spans="1:8" ht="18" customHeight="1" x14ac:dyDescent="0.35">
      <c r="A6" s="85" t="s">
        <v>615</v>
      </c>
      <c r="B6" s="101"/>
      <c r="C6" s="101"/>
      <c r="D6" s="101"/>
      <c r="E6" s="101"/>
      <c r="F6" s="101"/>
      <c r="G6" s="51">
        <v>461.99</v>
      </c>
    </row>
    <row r="7" spans="1:8" ht="18" customHeight="1" x14ac:dyDescent="0.35">
      <c r="A7" s="85" t="s">
        <v>590</v>
      </c>
      <c r="B7" s="101">
        <v>3128.36</v>
      </c>
      <c r="C7" s="101">
        <v>4122.6099999999997</v>
      </c>
      <c r="D7" s="101">
        <v>4239.5</v>
      </c>
      <c r="E7" s="101">
        <v>4698.49</v>
      </c>
      <c r="F7" s="101">
        <v>5083.62</v>
      </c>
      <c r="G7" s="51">
        <v>2522</v>
      </c>
      <c r="H7" s="49" t="s">
        <v>623</v>
      </c>
    </row>
    <row r="8" spans="1:8" ht="18" customHeight="1" x14ac:dyDescent="0.2">
      <c r="A8" s="56"/>
      <c r="B8" s="101"/>
      <c r="C8" s="101"/>
      <c r="D8" s="101"/>
      <c r="E8" s="101"/>
      <c r="F8" s="101"/>
      <c r="G8" s="51"/>
    </row>
    <row r="9" spans="1:8" ht="18" customHeight="1" x14ac:dyDescent="0.2">
      <c r="A9" s="56" t="s">
        <v>510</v>
      </c>
      <c r="B9" s="101">
        <v>2404.77</v>
      </c>
      <c r="C9" s="101">
        <v>2428.9699999999998</v>
      </c>
      <c r="D9" s="101">
        <v>2976.79</v>
      </c>
      <c r="E9" s="101">
        <v>3678.94</v>
      </c>
      <c r="F9" s="101">
        <v>4191.12</v>
      </c>
      <c r="G9" s="51">
        <v>1671.11</v>
      </c>
    </row>
    <row r="10" spans="1:8" ht="18" customHeight="1" x14ac:dyDescent="0.2">
      <c r="A10" s="56" t="s">
        <v>506</v>
      </c>
      <c r="B10" s="101">
        <v>210.23</v>
      </c>
      <c r="C10" s="101">
        <v>280.52</v>
      </c>
      <c r="D10" s="101">
        <v>337.73</v>
      </c>
      <c r="E10" s="101">
        <v>388.72</v>
      </c>
      <c r="F10" s="101">
        <v>415.16</v>
      </c>
      <c r="G10" s="51">
        <v>110.47</v>
      </c>
      <c r="H10" s="50" t="s">
        <v>624</v>
      </c>
    </row>
    <row r="11" spans="1:8" s="50" customFormat="1" ht="18" customHeight="1" x14ac:dyDescent="0.2">
      <c r="A11" s="60" t="s">
        <v>507</v>
      </c>
      <c r="B11" s="102">
        <f>B10/B9</f>
        <v>8.7422081945466718E-2</v>
      </c>
      <c r="C11" s="102">
        <f t="shared" ref="C11:E11" si="0">C10/C9</f>
        <v>0.11548928146498311</v>
      </c>
      <c r="D11" s="102">
        <f t="shared" si="0"/>
        <v>0.11345442574047884</v>
      </c>
      <c r="E11" s="102">
        <f t="shared" si="0"/>
        <v>0.10566086970703518</v>
      </c>
      <c r="F11" s="102">
        <f>F10/F9</f>
        <v>9.9057053961709524E-2</v>
      </c>
      <c r="G11" s="102">
        <f>G10/G9</f>
        <v>6.610576203840561E-2</v>
      </c>
      <c r="H11" s="50" t="s">
        <v>621</v>
      </c>
    </row>
    <row r="12" spans="1:8" s="96" customFormat="1" ht="18" customHeight="1" x14ac:dyDescent="0.2">
      <c r="A12" s="98" t="s">
        <v>617</v>
      </c>
      <c r="B12" s="103">
        <v>50.1</v>
      </c>
      <c r="C12" s="103">
        <v>62.4</v>
      </c>
      <c r="D12" s="103">
        <v>67.900000000000006</v>
      </c>
      <c r="E12" s="103">
        <v>49.8</v>
      </c>
      <c r="F12" s="103">
        <v>135.1</v>
      </c>
      <c r="G12" s="103">
        <v>28.8</v>
      </c>
      <c r="H12" s="96" t="s">
        <v>625</v>
      </c>
    </row>
    <row r="13" spans="1:8" s="96" customFormat="1" ht="18" customHeight="1" x14ac:dyDescent="0.2">
      <c r="A13" s="98" t="s">
        <v>618</v>
      </c>
      <c r="B13" s="103">
        <v>49.3</v>
      </c>
      <c r="C13" s="103">
        <v>45.7</v>
      </c>
      <c r="D13" s="103">
        <v>62.8</v>
      </c>
      <c r="E13" s="103">
        <v>37.9</v>
      </c>
      <c r="F13" s="103">
        <v>97.4</v>
      </c>
      <c r="G13" s="103">
        <v>22.1</v>
      </c>
      <c r="H13" s="96" t="s">
        <v>626</v>
      </c>
    </row>
    <row r="14" spans="1:8" ht="18" customHeight="1" x14ac:dyDescent="0.2">
      <c r="A14" s="56"/>
      <c r="B14" s="102"/>
      <c r="C14" s="102"/>
      <c r="D14" s="102"/>
      <c r="E14" s="102"/>
      <c r="F14" s="102"/>
      <c r="G14" s="51"/>
    </row>
    <row r="15" spans="1:8" ht="18" customHeight="1" x14ac:dyDescent="0.2">
      <c r="A15" s="56" t="s">
        <v>134</v>
      </c>
      <c r="B15" s="101">
        <v>3647.7</v>
      </c>
      <c r="C15" s="101">
        <v>5298.8</v>
      </c>
      <c r="D15" s="101">
        <v>6069.5</v>
      </c>
      <c r="E15" s="101">
        <v>6308.4</v>
      </c>
      <c r="F15" s="101">
        <v>7041.5</v>
      </c>
      <c r="G15" s="51">
        <v>3544.3</v>
      </c>
      <c r="H15" s="43" t="s">
        <v>627</v>
      </c>
    </row>
    <row r="16" spans="1:8" ht="18" customHeight="1" x14ac:dyDescent="0.2">
      <c r="A16" s="56" t="s">
        <v>136</v>
      </c>
      <c r="B16" s="101">
        <v>2765.4</v>
      </c>
      <c r="C16" s="101">
        <v>3595.2</v>
      </c>
      <c r="D16" s="101">
        <v>4037.7</v>
      </c>
      <c r="E16" s="101">
        <v>4112.2</v>
      </c>
      <c r="F16" s="101">
        <v>4667.5</v>
      </c>
      <c r="G16" s="51">
        <v>2191.6999999999998</v>
      </c>
      <c r="H16" s="43" t="s">
        <v>628</v>
      </c>
    </row>
    <row r="17" spans="1:7" s="96" customFormat="1" ht="18" customHeight="1" x14ac:dyDescent="0.2">
      <c r="A17" s="98" t="s">
        <v>235</v>
      </c>
      <c r="B17" s="103">
        <f>B15/B16*10000</f>
        <v>13190.49685398134</v>
      </c>
      <c r="C17" s="103">
        <f t="shared" ref="C17:G17" si="1">C15/C16*10000</f>
        <v>14738.540275923455</v>
      </c>
      <c r="D17" s="103">
        <f t="shared" si="1"/>
        <v>15032.072714664291</v>
      </c>
      <c r="E17" s="103">
        <f t="shared" si="1"/>
        <v>15340.693546033752</v>
      </c>
      <c r="F17" s="103">
        <f t="shared" si="1"/>
        <v>15086.234600964115</v>
      </c>
      <c r="G17" s="103">
        <f t="shared" si="1"/>
        <v>16171.465072774559</v>
      </c>
    </row>
    <row r="18" spans="1:7" s="96" customFormat="1" ht="18" customHeight="1" x14ac:dyDescent="0.2">
      <c r="A18" s="98" t="s">
        <v>620</v>
      </c>
      <c r="B18" s="103">
        <v>2746.46</v>
      </c>
      <c r="C18" s="103">
        <v>4077.06</v>
      </c>
      <c r="D18" s="103">
        <v>5049.6499999999996</v>
      </c>
      <c r="E18" s="103">
        <v>5778.18</v>
      </c>
      <c r="F18" s="103">
        <v>6316.59</v>
      </c>
      <c r="G18" s="103">
        <v>6952.32</v>
      </c>
    </row>
    <row r="19" spans="1:7" s="96" customFormat="1" ht="18" customHeight="1" x14ac:dyDescent="0.2">
      <c r="A19" s="98"/>
      <c r="B19" s="103"/>
      <c r="C19" s="103"/>
      <c r="D19" s="103"/>
      <c r="E19" s="103"/>
      <c r="F19" s="103"/>
      <c r="G19" s="103"/>
    </row>
    <row r="20" spans="1:7" ht="18" customHeight="1" x14ac:dyDescent="0.2">
      <c r="A20" s="56" t="s">
        <v>143</v>
      </c>
      <c r="B20" s="101">
        <v>173</v>
      </c>
      <c r="C20" s="101">
        <v>216</v>
      </c>
      <c r="D20" s="101">
        <v>227</v>
      </c>
      <c r="E20" s="101">
        <v>147</v>
      </c>
      <c r="F20" s="101">
        <v>168</v>
      </c>
      <c r="G20" s="51">
        <v>95</v>
      </c>
    </row>
    <row r="21" spans="1:7" ht="18" customHeight="1" x14ac:dyDescent="0.2">
      <c r="A21" s="56" t="s">
        <v>144</v>
      </c>
      <c r="B21" s="101">
        <v>3157.3</v>
      </c>
      <c r="C21" s="101">
        <v>4615.3999999999996</v>
      </c>
      <c r="D21" s="101">
        <v>4681.3999999999996</v>
      </c>
      <c r="E21" s="101">
        <v>3716.5</v>
      </c>
      <c r="F21" s="101">
        <v>3366.5</v>
      </c>
      <c r="G21" s="51">
        <v>1505.9</v>
      </c>
    </row>
    <row r="22" spans="1:7" ht="18" customHeight="1" x14ac:dyDescent="0.2">
      <c r="A22" s="56" t="s">
        <v>145</v>
      </c>
      <c r="B22" s="101">
        <v>1892.2</v>
      </c>
      <c r="C22" s="101">
        <v>2768.1</v>
      </c>
      <c r="D22" s="101">
        <v>2490.1999999999998</v>
      </c>
      <c r="E22" s="101">
        <v>2478.4</v>
      </c>
      <c r="F22" s="101">
        <v>2058.8000000000002</v>
      </c>
      <c r="G22" s="51">
        <v>1101.4000000000001</v>
      </c>
    </row>
    <row r="23" spans="1:7" ht="18" customHeight="1" x14ac:dyDescent="0.2">
      <c r="A23" s="56" t="s">
        <v>146</v>
      </c>
      <c r="B23" s="101"/>
      <c r="C23" s="101">
        <v>2188.9</v>
      </c>
      <c r="D23" s="101">
        <v>1351.4</v>
      </c>
      <c r="E23" s="101">
        <v>1549.6</v>
      </c>
      <c r="F23" s="101">
        <v>1381.5</v>
      </c>
      <c r="G23" s="51">
        <v>886.5</v>
      </c>
    </row>
    <row r="24" spans="1:7" ht="18" customHeight="1" x14ac:dyDescent="0.2">
      <c r="A24" s="56" t="s">
        <v>147</v>
      </c>
      <c r="B24" s="101"/>
      <c r="C24" s="101">
        <v>7908</v>
      </c>
      <c r="D24" s="101">
        <v>5427</v>
      </c>
      <c r="E24" s="101">
        <v>6252</v>
      </c>
      <c r="F24" s="101">
        <v>6710</v>
      </c>
      <c r="G24" s="51">
        <v>7480</v>
      </c>
    </row>
    <row r="25" spans="1:7" ht="18" customHeight="1" x14ac:dyDescent="0.2">
      <c r="A25" s="56"/>
      <c r="B25" s="101"/>
      <c r="C25" s="101"/>
      <c r="D25" s="101"/>
      <c r="E25" s="101"/>
      <c r="F25" s="101"/>
      <c r="G25" s="51"/>
    </row>
    <row r="26" spans="1:7" ht="18" customHeight="1" x14ac:dyDescent="0.2">
      <c r="A26" s="56" t="s">
        <v>160</v>
      </c>
      <c r="B26" s="101">
        <v>1288.5999999999999</v>
      </c>
      <c r="C26" s="101">
        <v>1906.2</v>
      </c>
      <c r="D26" s="101">
        <v>2612.1</v>
      </c>
      <c r="E26" s="101">
        <v>2578.5</v>
      </c>
      <c r="F26" s="101">
        <v>2585.3000000000002</v>
      </c>
      <c r="G26" s="51">
        <v>2687.1</v>
      </c>
    </row>
    <row r="27" spans="1:7" ht="18" customHeight="1" x14ac:dyDescent="0.2">
      <c r="A27" s="56" t="s">
        <v>161</v>
      </c>
      <c r="B27" s="101">
        <v>433.5</v>
      </c>
      <c r="C27" s="101">
        <v>622.70000000000005</v>
      </c>
      <c r="D27" s="101">
        <v>931.8</v>
      </c>
      <c r="E27" s="101">
        <v>938.9</v>
      </c>
      <c r="F27" s="101">
        <v>829.1</v>
      </c>
      <c r="G27" s="51">
        <v>843</v>
      </c>
    </row>
    <row r="28" spans="1:7" ht="18" customHeight="1" x14ac:dyDescent="0.2">
      <c r="A28" s="56" t="s">
        <v>162</v>
      </c>
      <c r="B28" s="101">
        <v>855.1</v>
      </c>
      <c r="C28" s="101">
        <v>1283.5</v>
      </c>
      <c r="D28" s="101">
        <v>1680.3</v>
      </c>
      <c r="E28" s="101">
        <v>1639.7</v>
      </c>
      <c r="F28" s="101">
        <v>1756.2</v>
      </c>
      <c r="G28" s="51">
        <v>1844.1</v>
      </c>
    </row>
    <row r="29" spans="1:7" ht="18" customHeight="1" x14ac:dyDescent="0.2">
      <c r="A29" s="56" t="s">
        <v>163</v>
      </c>
      <c r="B29" s="101">
        <v>32.299999999999997</v>
      </c>
      <c r="C29" s="101">
        <v>82.1</v>
      </c>
      <c r="D29" s="101">
        <v>141.5</v>
      </c>
      <c r="E29" s="101">
        <v>139.6</v>
      </c>
      <c r="F29" s="101">
        <v>158.4</v>
      </c>
      <c r="G29" s="51">
        <v>63.1</v>
      </c>
    </row>
    <row r="30" spans="1:7" ht="18" customHeight="1" x14ac:dyDescent="0.2">
      <c r="A30" s="56" t="s">
        <v>164</v>
      </c>
      <c r="B30" s="101">
        <v>23.1</v>
      </c>
      <c r="C30" s="101">
        <v>41.5</v>
      </c>
      <c r="D30" s="101">
        <v>59.6</v>
      </c>
      <c r="E30" s="101">
        <v>56.9</v>
      </c>
      <c r="F30" s="101">
        <v>80.599999999999994</v>
      </c>
      <c r="G30" s="51">
        <v>25.2</v>
      </c>
    </row>
    <row r="31" spans="1:7" ht="18" customHeight="1" x14ac:dyDescent="0.2">
      <c r="A31" s="56" t="s">
        <v>204</v>
      </c>
      <c r="B31" s="101">
        <v>111.69</v>
      </c>
      <c r="C31" s="101">
        <v>121.84</v>
      </c>
      <c r="D31" s="101">
        <v>146.79</v>
      </c>
      <c r="E31" s="101">
        <v>163</v>
      </c>
      <c r="F31" s="101">
        <v>189.95</v>
      </c>
      <c r="G31" s="51">
        <v>192.77</v>
      </c>
    </row>
    <row r="32" spans="1:7" ht="18" hidden="1" customHeight="1" x14ac:dyDescent="0.2">
      <c r="A32" s="56" t="s">
        <v>397</v>
      </c>
      <c r="B32" s="101"/>
      <c r="C32" s="101">
        <f>B31+C30</f>
        <v>153.19</v>
      </c>
      <c r="D32" s="101">
        <f t="shared" ref="D32:E32" si="2">C31+D30</f>
        <v>181.44</v>
      </c>
      <c r="E32" s="101">
        <f t="shared" si="2"/>
        <v>203.69</v>
      </c>
      <c r="F32" s="101">
        <f>E31+F30</f>
        <v>243.6</v>
      </c>
      <c r="G32" s="101">
        <f>F31+G30</f>
        <v>215.14999999999998</v>
      </c>
    </row>
    <row r="33" spans="1:8" ht="18" hidden="1" customHeight="1" x14ac:dyDescent="0.2">
      <c r="A33" s="56" t="s">
        <v>396</v>
      </c>
      <c r="B33" s="101"/>
      <c r="C33" s="101">
        <f>C32-C31</f>
        <v>31.349999999999994</v>
      </c>
      <c r="D33" s="101">
        <f t="shared" ref="D33:E33" si="3">D32-D31</f>
        <v>34.650000000000006</v>
      </c>
      <c r="E33" s="101">
        <f t="shared" si="3"/>
        <v>40.69</v>
      </c>
      <c r="F33" s="101">
        <f>F32-F31</f>
        <v>53.650000000000006</v>
      </c>
      <c r="G33" s="101">
        <f>G32-G31</f>
        <v>22.379999999999967</v>
      </c>
    </row>
    <row r="34" spans="1:8" ht="18" customHeight="1" x14ac:dyDescent="0.2">
      <c r="A34" s="56"/>
      <c r="B34" s="102"/>
      <c r="C34" s="102"/>
      <c r="D34" s="102"/>
      <c r="E34" s="102"/>
      <c r="F34" s="102"/>
      <c r="G34" s="51"/>
    </row>
    <row r="35" spans="1:8" ht="18" customHeight="1" x14ac:dyDescent="0.2">
      <c r="A35" s="56" t="s">
        <v>135</v>
      </c>
      <c r="B35" s="101">
        <v>2053.3000000000002</v>
      </c>
      <c r="C35" s="101">
        <v>1980.5</v>
      </c>
      <c r="D35" s="101">
        <v>2191.4</v>
      </c>
      <c r="E35" s="101">
        <v>2460.3000000000002</v>
      </c>
      <c r="F35" s="101">
        <v>2889.4</v>
      </c>
      <c r="G35" s="51">
        <v>1115.4000000000001</v>
      </c>
      <c r="H35" s="43" t="s">
        <v>629</v>
      </c>
    </row>
    <row r="36" spans="1:8" ht="18" customHeight="1" x14ac:dyDescent="0.2">
      <c r="A36" s="56" t="s">
        <v>137</v>
      </c>
      <c r="B36" s="101">
        <v>2341.4</v>
      </c>
      <c r="C36" s="101">
        <v>2330.1</v>
      </c>
      <c r="D36" s="101">
        <v>2846.2</v>
      </c>
      <c r="E36" s="101">
        <v>3340.4</v>
      </c>
      <c r="F36" s="101">
        <v>3774.2</v>
      </c>
      <c r="G36" s="51">
        <v>1443.3</v>
      </c>
      <c r="H36" s="43" t="s">
        <v>630</v>
      </c>
    </row>
    <row r="37" spans="1:8" ht="18" customHeight="1" x14ac:dyDescent="0.2">
      <c r="A37" s="56" t="s">
        <v>138</v>
      </c>
      <c r="B37" s="101"/>
      <c r="C37" s="101">
        <v>11765</v>
      </c>
      <c r="D37" s="101">
        <v>12516</v>
      </c>
      <c r="E37" s="101">
        <v>13577</v>
      </c>
      <c r="F37" s="101">
        <v>13062</v>
      </c>
      <c r="G37" s="101">
        <v>12940</v>
      </c>
    </row>
    <row r="38" spans="1:8" s="48" customFormat="1" ht="18" customHeight="1" x14ac:dyDescent="0.2">
      <c r="A38" s="58" t="s">
        <v>159</v>
      </c>
      <c r="B38" s="219">
        <v>0.19800000000000001</v>
      </c>
      <c r="C38" s="219">
        <v>0.25800000000000001</v>
      </c>
      <c r="D38" s="219">
        <v>0.29699999999999999</v>
      </c>
      <c r="E38" s="219">
        <v>0.27200000000000002</v>
      </c>
      <c r="F38" s="219">
        <v>0.22600000000000001</v>
      </c>
      <c r="G38" s="52">
        <v>0.18</v>
      </c>
    </row>
    <row r="39" spans="1:8" ht="18" customHeight="1" x14ac:dyDescent="0.2">
      <c r="A39" s="56" t="s">
        <v>140</v>
      </c>
      <c r="B39" s="101">
        <v>2279.6999999999998</v>
      </c>
      <c r="C39" s="101">
        <v>1980.5</v>
      </c>
      <c r="D39" s="101">
        <v>3710.2</v>
      </c>
      <c r="E39" s="101">
        <v>4288.5</v>
      </c>
      <c r="F39" s="101">
        <v>4918.6000000000004</v>
      </c>
      <c r="G39" s="51">
        <v>5377.7</v>
      </c>
    </row>
    <row r="40" spans="1:8" ht="18" customHeight="1" x14ac:dyDescent="0.2">
      <c r="A40" s="56" t="s">
        <v>139</v>
      </c>
      <c r="B40" s="101">
        <v>2782.3</v>
      </c>
      <c r="C40" s="101">
        <v>2330.1</v>
      </c>
      <c r="D40" s="101">
        <v>5307.1</v>
      </c>
      <c r="E40" s="101">
        <v>6091</v>
      </c>
      <c r="F40" s="101">
        <v>6981.5</v>
      </c>
      <c r="G40" s="51">
        <v>7819.1</v>
      </c>
    </row>
    <row r="41" spans="1:8" ht="18" customHeight="1" x14ac:dyDescent="0.2">
      <c r="A41" s="56" t="s">
        <v>141</v>
      </c>
      <c r="B41" s="101">
        <v>3136.7</v>
      </c>
      <c r="C41" s="101">
        <v>3651.6</v>
      </c>
      <c r="D41" s="101">
        <v>4992.8</v>
      </c>
      <c r="E41" s="101">
        <v>4241.1000000000004</v>
      </c>
      <c r="F41" s="101">
        <v>3960.4</v>
      </c>
      <c r="G41" s="51">
        <v>1748.3</v>
      </c>
    </row>
    <row r="42" spans="1:8" ht="18" customHeight="1" x14ac:dyDescent="0.2">
      <c r="A42" s="56" t="s">
        <v>142</v>
      </c>
      <c r="B42" s="101">
        <v>2237.1999999999998</v>
      </c>
      <c r="C42" s="101">
        <v>2301.4</v>
      </c>
      <c r="D42" s="101">
        <v>2756.3</v>
      </c>
      <c r="E42" s="101">
        <v>3007.9</v>
      </c>
      <c r="F42" s="101">
        <v>3381.7</v>
      </c>
      <c r="G42" s="51">
        <v>1225.3</v>
      </c>
    </row>
    <row r="43" spans="1:8" ht="18" customHeight="1" x14ac:dyDescent="0.2">
      <c r="A43" s="56"/>
      <c r="B43" s="101"/>
      <c r="C43" s="101"/>
      <c r="D43" s="101"/>
      <c r="E43" s="101"/>
      <c r="F43" s="101"/>
      <c r="G43" s="51"/>
    </row>
    <row r="44" spans="1:8" ht="18" customHeight="1" x14ac:dyDescent="0.2">
      <c r="A44" s="56" t="s">
        <v>148</v>
      </c>
      <c r="B44" s="101">
        <v>5442.4</v>
      </c>
      <c r="C44" s="101">
        <v>6852.8</v>
      </c>
      <c r="D44" s="101">
        <v>9012.7000000000007</v>
      </c>
      <c r="E44" s="101">
        <v>10256.1</v>
      </c>
      <c r="F44" s="101">
        <v>10787.6</v>
      </c>
      <c r="G44" s="51">
        <v>11283.3</v>
      </c>
    </row>
    <row r="45" spans="1:8" ht="18" customHeight="1" x14ac:dyDescent="0.2">
      <c r="A45" s="56" t="s">
        <v>149</v>
      </c>
      <c r="B45" s="101">
        <v>3622.2</v>
      </c>
      <c r="C45" s="101">
        <v>4374</v>
      </c>
      <c r="D45" s="101">
        <v>5402.1</v>
      </c>
      <c r="E45" s="101">
        <v>6170</v>
      </c>
      <c r="F45" s="101">
        <v>6380.8</v>
      </c>
      <c r="G45" s="51">
        <v>6738.8</v>
      </c>
    </row>
    <row r="46" spans="1:8" ht="18" customHeight="1" x14ac:dyDescent="0.2">
      <c r="A46" s="56" t="s">
        <v>150</v>
      </c>
      <c r="B46" s="101">
        <v>5296.9</v>
      </c>
      <c r="C46" s="101">
        <v>6321.9</v>
      </c>
      <c r="D46" s="101">
        <v>5936.2</v>
      </c>
      <c r="E46" s="101">
        <v>5394.3</v>
      </c>
      <c r="F46" s="101">
        <v>5050.8</v>
      </c>
      <c r="G46" s="51">
        <v>4782.6000000000004</v>
      </c>
    </row>
    <row r="47" spans="1:8" ht="18" customHeight="1" x14ac:dyDescent="0.2">
      <c r="A47" s="56" t="s">
        <v>151</v>
      </c>
      <c r="B47" s="101">
        <v>3655.9</v>
      </c>
      <c r="C47" s="101">
        <v>4077.9</v>
      </c>
      <c r="D47" s="101">
        <v>3579.6</v>
      </c>
      <c r="E47" s="101">
        <v>3360.2</v>
      </c>
      <c r="F47" s="101">
        <v>3127.4</v>
      </c>
      <c r="G47" s="51">
        <v>3043.5</v>
      </c>
    </row>
    <row r="48" spans="1:8" ht="18" customHeight="1" x14ac:dyDescent="0.2">
      <c r="A48" s="56" t="s">
        <v>152</v>
      </c>
      <c r="B48" s="101">
        <v>544.70000000000005</v>
      </c>
      <c r="C48" s="101">
        <v>289.10000000000002</v>
      </c>
      <c r="D48" s="101">
        <v>347.7</v>
      </c>
      <c r="E48" s="101">
        <v>492.9</v>
      </c>
      <c r="F48" s="101">
        <v>363.4</v>
      </c>
      <c r="G48" s="51">
        <v>339.8</v>
      </c>
    </row>
    <row r="49" spans="1:7" ht="18" hidden="1" customHeight="1" x14ac:dyDescent="0.2">
      <c r="A49" s="56"/>
      <c r="B49" s="101"/>
      <c r="C49" s="101"/>
      <c r="D49" s="101"/>
      <c r="E49" s="101"/>
      <c r="F49" s="101"/>
      <c r="G49" s="51"/>
    </row>
    <row r="50" spans="1:7" ht="18" hidden="1" customHeight="1" x14ac:dyDescent="0.2">
      <c r="A50" s="56" t="s">
        <v>173</v>
      </c>
      <c r="B50" s="101">
        <v>2923.6</v>
      </c>
      <c r="C50" s="101">
        <v>3545.1</v>
      </c>
      <c r="D50" s="101">
        <v>3609</v>
      </c>
      <c r="E50" s="101">
        <v>2921.2</v>
      </c>
      <c r="F50" s="101">
        <v>3148.4</v>
      </c>
      <c r="G50" s="51"/>
    </row>
    <row r="51" spans="1:7" ht="18" hidden="1" customHeight="1" x14ac:dyDescent="0.2">
      <c r="A51" s="56" t="s">
        <v>174</v>
      </c>
      <c r="B51" s="101">
        <v>2448.3000000000002</v>
      </c>
      <c r="C51" s="101">
        <v>2630.5</v>
      </c>
      <c r="D51" s="101">
        <v>3076.6</v>
      </c>
      <c r="E51" s="101">
        <v>3319.3</v>
      </c>
      <c r="F51" s="101">
        <v>3587.5</v>
      </c>
      <c r="G51" s="51"/>
    </row>
    <row r="52" spans="1:7" ht="18" hidden="1" customHeight="1" x14ac:dyDescent="0.2">
      <c r="A52" s="56"/>
      <c r="B52" s="101"/>
      <c r="C52" s="101"/>
      <c r="D52" s="101"/>
      <c r="E52" s="101"/>
      <c r="F52" s="101"/>
      <c r="G52" s="51"/>
    </row>
    <row r="53" spans="1:7" ht="18" hidden="1" customHeight="1" x14ac:dyDescent="0.2">
      <c r="A53" s="56" t="s">
        <v>153</v>
      </c>
      <c r="B53" s="101"/>
      <c r="C53" s="101"/>
      <c r="D53" s="101"/>
      <c r="E53" s="101">
        <v>54.06</v>
      </c>
      <c r="F53" s="101"/>
      <c r="G53" s="51"/>
    </row>
    <row r="54" spans="1:7" ht="18" hidden="1" customHeight="1" x14ac:dyDescent="0.2">
      <c r="A54" s="56" t="s">
        <v>154</v>
      </c>
      <c r="B54" s="101"/>
      <c r="C54" s="101"/>
      <c r="D54" s="101"/>
      <c r="E54" s="101">
        <v>10300</v>
      </c>
      <c r="F54" s="101"/>
      <c r="G54" s="51"/>
    </row>
    <row r="55" spans="1:7" ht="18" hidden="1" customHeight="1" x14ac:dyDescent="0.2">
      <c r="A55" s="56" t="s">
        <v>155</v>
      </c>
      <c r="B55" s="101"/>
      <c r="C55" s="101"/>
      <c r="D55" s="101"/>
      <c r="E55" s="101">
        <v>33.39</v>
      </c>
      <c r="F55" s="101"/>
      <c r="G55" s="51"/>
    </row>
    <row r="56" spans="1:7" ht="18" hidden="1" customHeight="1" x14ac:dyDescent="0.2">
      <c r="A56" s="56" t="s">
        <v>156</v>
      </c>
      <c r="B56" s="101"/>
      <c r="C56" s="101"/>
      <c r="D56" s="101"/>
      <c r="E56" s="101">
        <v>64000</v>
      </c>
      <c r="F56" s="101"/>
      <c r="G56" s="51"/>
    </row>
    <row r="57" spans="1:7" ht="18" hidden="1" customHeight="1" x14ac:dyDescent="0.2">
      <c r="A57" s="56" t="s">
        <v>157</v>
      </c>
      <c r="B57" s="101"/>
      <c r="C57" s="101"/>
      <c r="D57" s="101"/>
      <c r="E57" s="101">
        <v>45000</v>
      </c>
      <c r="F57" s="101"/>
      <c r="G57" s="51"/>
    </row>
    <row r="58" spans="1:7" ht="18" hidden="1" customHeight="1" x14ac:dyDescent="0.2">
      <c r="A58" s="56" t="s">
        <v>158</v>
      </c>
      <c r="B58" s="101"/>
      <c r="C58" s="101"/>
      <c r="D58" s="101"/>
      <c r="E58" s="101">
        <v>19000</v>
      </c>
      <c r="F58" s="101"/>
      <c r="G58" s="51"/>
    </row>
    <row r="59" spans="1:7" ht="18" hidden="1" customHeight="1" x14ac:dyDescent="0.2">
      <c r="A59" s="56"/>
      <c r="B59" s="101"/>
      <c r="C59" s="101"/>
      <c r="D59" s="101"/>
      <c r="E59" s="101"/>
      <c r="F59" s="101"/>
      <c r="G59" s="51"/>
    </row>
    <row r="60" spans="1:7" ht="18" hidden="1" customHeight="1" x14ac:dyDescent="0.2">
      <c r="A60" s="56" t="s">
        <v>175</v>
      </c>
      <c r="B60" s="101"/>
      <c r="C60" s="101"/>
      <c r="D60" s="101"/>
      <c r="E60" s="101"/>
      <c r="F60" s="101"/>
      <c r="G60" s="51"/>
    </row>
    <row r="61" spans="1:7" ht="18" hidden="1" customHeight="1" x14ac:dyDescent="0.2">
      <c r="A61" s="56" t="s">
        <v>176</v>
      </c>
      <c r="B61" s="101"/>
      <c r="C61" s="101"/>
      <c r="D61" s="101">
        <v>120</v>
      </c>
      <c r="E61" s="101">
        <v>108</v>
      </c>
      <c r="F61" s="101"/>
      <c r="G61" s="51"/>
    </row>
    <row r="62" spans="1:7" ht="18" hidden="1" customHeight="1" x14ac:dyDescent="0.2">
      <c r="A62" s="56" t="s">
        <v>177</v>
      </c>
      <c r="B62" s="101"/>
      <c r="C62" s="101"/>
      <c r="D62" s="101">
        <v>1000</v>
      </c>
      <c r="E62" s="101">
        <v>900</v>
      </c>
      <c r="F62" s="101"/>
      <c r="G62" s="51"/>
    </row>
    <row r="63" spans="1:7" ht="18" hidden="1" customHeight="1" x14ac:dyDescent="0.2">
      <c r="A63" s="56"/>
      <c r="B63" s="101"/>
      <c r="C63" s="101"/>
      <c r="D63" s="101"/>
      <c r="E63" s="101"/>
      <c r="F63" s="101"/>
      <c r="G63" s="51"/>
    </row>
    <row r="64" spans="1:7" ht="18" hidden="1" customHeight="1" x14ac:dyDescent="0.2">
      <c r="A64" s="56" t="s">
        <v>165</v>
      </c>
      <c r="B64" s="101"/>
      <c r="C64" s="101"/>
      <c r="D64" s="101"/>
      <c r="E64" s="101"/>
      <c r="F64" s="101"/>
      <c r="G64" s="51"/>
    </row>
    <row r="65" spans="1:8" ht="18" hidden="1" customHeight="1" x14ac:dyDescent="0.2">
      <c r="A65" s="56" t="s">
        <v>166</v>
      </c>
      <c r="B65" s="101" t="s">
        <v>168</v>
      </c>
      <c r="C65" s="101" t="s">
        <v>168</v>
      </c>
      <c r="D65" s="101" t="s">
        <v>168</v>
      </c>
      <c r="E65" s="101" t="s">
        <v>168</v>
      </c>
      <c r="F65" s="101" t="s">
        <v>168</v>
      </c>
      <c r="G65" s="51"/>
    </row>
    <row r="66" spans="1:8" ht="18" hidden="1" customHeight="1" x14ac:dyDescent="0.2">
      <c r="A66" s="56" t="s">
        <v>167</v>
      </c>
      <c r="B66" s="101" t="s">
        <v>168</v>
      </c>
      <c r="C66" s="101" t="s">
        <v>168</v>
      </c>
      <c r="D66" s="101" t="s">
        <v>168</v>
      </c>
      <c r="E66" s="101" t="s">
        <v>168</v>
      </c>
      <c r="F66" s="101" t="s">
        <v>168</v>
      </c>
      <c r="G66" s="51"/>
    </row>
    <row r="67" spans="1:8" ht="18" hidden="1" customHeight="1" x14ac:dyDescent="0.2">
      <c r="A67" s="56" t="s">
        <v>169</v>
      </c>
      <c r="B67" s="101" t="s">
        <v>170</v>
      </c>
      <c r="C67" s="101" t="s">
        <v>170</v>
      </c>
      <c r="D67" s="101" t="s">
        <v>170</v>
      </c>
      <c r="E67" s="101" t="s">
        <v>170</v>
      </c>
      <c r="F67" s="101" t="s">
        <v>170</v>
      </c>
      <c r="G67" s="51"/>
    </row>
    <row r="68" spans="1:8" ht="18" hidden="1" customHeight="1" x14ac:dyDescent="0.2">
      <c r="A68" s="56" t="s">
        <v>171</v>
      </c>
      <c r="B68" s="101" t="s">
        <v>172</v>
      </c>
      <c r="C68" s="101" t="s">
        <v>172</v>
      </c>
      <c r="D68" s="101" t="s">
        <v>172</v>
      </c>
      <c r="E68" s="101" t="s">
        <v>172</v>
      </c>
      <c r="F68" s="101" t="s">
        <v>172</v>
      </c>
      <c r="G68" s="51"/>
    </row>
    <row r="69" spans="1:8" x14ac:dyDescent="0.2">
      <c r="B69" s="101"/>
      <c r="C69" s="101"/>
      <c r="D69" s="101"/>
      <c r="E69" s="101"/>
      <c r="F69" s="101"/>
      <c r="G69" s="51"/>
    </row>
    <row r="70" spans="1:8" ht="18" customHeight="1" x14ac:dyDescent="0.2">
      <c r="A70" s="56" t="s">
        <v>58</v>
      </c>
      <c r="B70" s="101">
        <v>51.61</v>
      </c>
      <c r="C70" s="101">
        <v>62.62</v>
      </c>
      <c r="D70" s="101">
        <v>78.680000000000007</v>
      </c>
      <c r="E70" s="101">
        <v>90.44</v>
      </c>
      <c r="F70" s="101">
        <v>106.37</v>
      </c>
      <c r="G70" s="51">
        <v>43.04</v>
      </c>
      <c r="H70" s="43" t="s">
        <v>631</v>
      </c>
    </row>
    <row r="71" spans="1:8" ht="18" customHeight="1" x14ac:dyDescent="0.2">
      <c r="A71" s="56" t="s">
        <v>59</v>
      </c>
      <c r="B71" s="101">
        <v>68.010000000000005</v>
      </c>
      <c r="C71" s="101">
        <v>82.52</v>
      </c>
      <c r="D71" s="101">
        <v>103.41</v>
      </c>
      <c r="E71" s="101">
        <v>110.18</v>
      </c>
      <c r="F71" s="101">
        <v>102.88</v>
      </c>
      <c r="G71" s="51">
        <v>49.12</v>
      </c>
      <c r="H71" s="43" t="s">
        <v>632</v>
      </c>
    </row>
    <row r="72" spans="1:8" ht="18" customHeight="1" x14ac:dyDescent="0.2">
      <c r="A72" s="56"/>
      <c r="B72" s="101"/>
      <c r="C72" s="101"/>
      <c r="D72" s="101"/>
      <c r="E72" s="101"/>
      <c r="F72" s="101"/>
      <c r="G72" s="51"/>
    </row>
    <row r="73" spans="1:8" s="96" customFormat="1" x14ac:dyDescent="0.2">
      <c r="A73" s="218" t="s">
        <v>616</v>
      </c>
      <c r="B73" s="106">
        <f t="shared" ref="B73:F73" si="4">(B4-B5-B6)/B27</f>
        <v>1.8336793540945793</v>
      </c>
      <c r="C73" s="106">
        <f t="shared" si="4"/>
        <v>2.6389272522884211</v>
      </c>
      <c r="D73" s="106">
        <f t="shared" si="4"/>
        <v>1.8852543464262719</v>
      </c>
      <c r="E73" s="106">
        <f t="shared" si="4"/>
        <v>1.7013419959527107</v>
      </c>
      <c r="F73" s="106">
        <f t="shared" si="4"/>
        <v>2.239331805572307</v>
      </c>
      <c r="G73" s="106">
        <f>(G4-G5-G6)/G27</f>
        <v>1.6700711743772243</v>
      </c>
    </row>
    <row r="74" spans="1:8" ht="18" customHeight="1" x14ac:dyDescent="0.2">
      <c r="A74" s="56" t="s">
        <v>133</v>
      </c>
      <c r="B74" s="102">
        <v>0.25900000000000001</v>
      </c>
      <c r="C74" s="102">
        <v>8.8400000000000006E-2</v>
      </c>
      <c r="D74" s="102">
        <v>0.30890000000000001</v>
      </c>
      <c r="E74" s="102">
        <v>0.3387</v>
      </c>
      <c r="F74" s="102">
        <v>0.18090000000000001</v>
      </c>
      <c r="G74" s="54">
        <v>0.2021</v>
      </c>
    </row>
    <row r="75" spans="1:8" x14ac:dyDescent="0.2">
      <c r="A75" s="99" t="s">
        <v>619</v>
      </c>
      <c r="B75" s="101"/>
      <c r="C75" s="101"/>
      <c r="D75" s="101"/>
      <c r="E75" s="101"/>
      <c r="F75" s="101"/>
      <c r="G75" s="54">
        <v>0.69699999999999995</v>
      </c>
    </row>
  </sheetData>
  <phoneticPr fontId="1" type="noConversion"/>
  <conditionalFormatting sqref="A49:E49">
    <cfRule type="colorScale" priority="11">
      <colorScale>
        <cfvo type="min"/>
        <cfvo type="max"/>
        <color rgb="FFFFEF9C"/>
        <color rgb="FF63BE7B"/>
      </colorScale>
    </cfRule>
  </conditionalFormatting>
  <conditionalFormatting sqref="A49:XFD49">
    <cfRule type="colorScale" priority="10">
      <colorScale>
        <cfvo type="min"/>
        <cfvo type="max"/>
        <color rgb="FFFFEF9C"/>
        <color rgb="FF63BE7B"/>
      </colorScale>
    </cfRule>
  </conditionalFormatting>
  <conditionalFormatting sqref="A11:XFD11">
    <cfRule type="colorScale" priority="5">
      <colorScale>
        <cfvo type="min"/>
        <cfvo type="max"/>
        <color rgb="FFFFEF9C"/>
        <color rgb="FF63BE7B"/>
      </colorScale>
    </cfRule>
  </conditionalFormatting>
  <conditionalFormatting sqref="A4">
    <cfRule type="colorScale" priority="4">
      <colorScale>
        <cfvo type="min"/>
        <cfvo type="max"/>
        <color rgb="FFFFEF9C"/>
        <color rgb="FF63BE7B"/>
      </colorScale>
    </cfRule>
  </conditionalFormatting>
  <conditionalFormatting sqref="A7">
    <cfRule type="colorScale" priority="3">
      <colorScale>
        <cfvo type="min"/>
        <cfvo type="max"/>
        <color rgb="FFFFEF9C"/>
        <color rgb="FF63BE7B"/>
      </colorScale>
    </cfRule>
  </conditionalFormatting>
  <conditionalFormatting sqref="A38:XFD38">
    <cfRule type="colorScale" priority="2">
      <colorScale>
        <cfvo type="min"/>
        <cfvo type="max"/>
        <color rgb="FFFFEF9C"/>
        <color rgb="FF63BE7B"/>
      </colorScale>
    </cfRule>
  </conditionalFormatting>
  <conditionalFormatting sqref="A18:XFD1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5C0B-268F-4DD2-8E4F-ECDD78CA7039}">
  <dimension ref="A1:K41"/>
  <sheetViews>
    <sheetView workbookViewId="0">
      <pane ySplit="1" topLeftCell="A2" activePane="bottomLeft" state="frozen"/>
      <selection pane="bottomLeft" activeCell="A23" sqref="A23"/>
    </sheetView>
  </sheetViews>
  <sheetFormatPr defaultRowHeight="14.25" x14ac:dyDescent="0.2"/>
  <cols>
    <col min="1" max="1" width="34.625" style="125" customWidth="1"/>
    <col min="2" max="2" width="10.375" style="126" customWidth="1"/>
    <col min="3" max="3" width="9.75" style="126" customWidth="1"/>
    <col min="4" max="4" width="10.25" style="126" customWidth="1"/>
    <col min="5" max="5" width="9.875" style="126" customWidth="1"/>
    <col min="6" max="6" width="9.125" style="126" customWidth="1"/>
    <col min="7" max="16384" width="9" style="80"/>
  </cols>
  <sheetData>
    <row r="1" spans="1:7" s="83" customFormat="1" ht="25.5" customHeight="1" x14ac:dyDescent="0.2">
      <c r="A1" s="83" t="s">
        <v>464</v>
      </c>
      <c r="B1" s="87" t="s">
        <v>68</v>
      </c>
      <c r="C1" s="87" t="s">
        <v>69</v>
      </c>
      <c r="D1" s="87" t="s">
        <v>70</v>
      </c>
      <c r="E1" s="87" t="s">
        <v>71</v>
      </c>
      <c r="F1" s="87" t="s">
        <v>72</v>
      </c>
      <c r="G1" s="87" t="s">
        <v>448</v>
      </c>
    </row>
    <row r="2" spans="1:7" ht="17.100000000000001" customHeight="1" x14ac:dyDescent="0.35">
      <c r="A2" s="85" t="s">
        <v>129</v>
      </c>
      <c r="B2" s="112">
        <v>2222.48</v>
      </c>
      <c r="C2" s="112">
        <v>2165.17</v>
      </c>
      <c r="D2" s="112">
        <v>2477.62</v>
      </c>
      <c r="E2" s="112">
        <v>2806.04</v>
      </c>
      <c r="F2" s="112">
        <v>3141.5</v>
      </c>
      <c r="G2" s="168">
        <v>3280.5</v>
      </c>
    </row>
    <row r="3" spans="1:7" ht="17.100000000000001" customHeight="1" x14ac:dyDescent="0.35">
      <c r="A3" s="85" t="s">
        <v>502</v>
      </c>
      <c r="B3" s="112">
        <v>51.75</v>
      </c>
      <c r="C3" s="112">
        <v>63.88</v>
      </c>
      <c r="D3" s="112">
        <v>88.49</v>
      </c>
      <c r="E3" s="112">
        <v>85.41</v>
      </c>
      <c r="F3" s="112">
        <v>142.03</v>
      </c>
      <c r="G3" s="168">
        <v>131.93</v>
      </c>
    </row>
    <row r="4" spans="1:7" ht="17.100000000000001" customHeight="1" x14ac:dyDescent="0.35">
      <c r="A4" s="85" t="s">
        <v>127</v>
      </c>
      <c r="B4" s="112">
        <v>312.82</v>
      </c>
      <c r="C4" s="112">
        <v>350.59</v>
      </c>
      <c r="D4" s="112">
        <v>377.16</v>
      </c>
      <c r="E4" s="112">
        <v>416.2</v>
      </c>
      <c r="F4" s="112">
        <v>439</v>
      </c>
      <c r="G4" s="168">
        <v>207.8</v>
      </c>
    </row>
    <row r="5" spans="1:7" ht="17.100000000000001" customHeight="1" x14ac:dyDescent="0.35">
      <c r="A5" s="85" t="s">
        <v>479</v>
      </c>
      <c r="B5" s="174">
        <f>56.5*0.85</f>
        <v>48.024999999999999</v>
      </c>
      <c r="C5" s="174">
        <f>43.7*0.85</f>
        <v>37.145000000000003</v>
      </c>
      <c r="D5" s="174">
        <f>78.1*0.85</f>
        <v>66.384999999999991</v>
      </c>
      <c r="E5" s="112">
        <f>73.2*0.85</f>
        <v>62.22</v>
      </c>
      <c r="F5" s="112">
        <v>58.7</v>
      </c>
      <c r="G5" s="168">
        <v>15.5</v>
      </c>
    </row>
    <row r="6" spans="1:7" s="115" customFormat="1" ht="17.100000000000001" hidden="1" customHeight="1" x14ac:dyDescent="0.2">
      <c r="A6" s="113" t="s">
        <v>497</v>
      </c>
      <c r="B6" s="114"/>
      <c r="C6" s="114"/>
      <c r="D6" s="114"/>
      <c r="E6" s="114">
        <v>343</v>
      </c>
      <c r="F6" s="114">
        <v>380.3</v>
      </c>
      <c r="G6" s="131">
        <v>192.3</v>
      </c>
    </row>
    <row r="7" spans="1:7" s="115" customFormat="1" ht="17.100000000000001" customHeight="1" x14ac:dyDescent="0.2">
      <c r="A7" s="113" t="s">
        <v>484</v>
      </c>
      <c r="B7" s="164">
        <v>0.17100000000000001</v>
      </c>
      <c r="C7" s="164">
        <v>0.16700000000000001</v>
      </c>
      <c r="D7" s="164">
        <v>0.16400000000000001</v>
      </c>
      <c r="E7" s="164">
        <v>0.158</v>
      </c>
      <c r="F7" s="164">
        <v>0.14799999999999999</v>
      </c>
      <c r="G7" s="133">
        <v>6.5000000000000002E-2</v>
      </c>
    </row>
    <row r="8" spans="1:7" s="118" customFormat="1" ht="17.100000000000001" hidden="1" customHeight="1" x14ac:dyDescent="0.2">
      <c r="A8" s="116" t="s">
        <v>432</v>
      </c>
      <c r="B8" s="117"/>
      <c r="C8" s="117"/>
      <c r="D8" s="117"/>
      <c r="E8" s="117"/>
      <c r="F8" s="117"/>
      <c r="G8" s="134"/>
    </row>
    <row r="9" spans="1:7" ht="17.100000000000001" customHeight="1" x14ac:dyDescent="0.35">
      <c r="A9" s="85" t="s">
        <v>498</v>
      </c>
      <c r="B9" s="119">
        <v>0.27</v>
      </c>
      <c r="C9" s="120">
        <v>0.26</v>
      </c>
      <c r="D9" s="120">
        <v>0.27</v>
      </c>
      <c r="E9" s="120">
        <v>0.28399999999999997</v>
      </c>
      <c r="F9" s="119">
        <v>0.30199999999999999</v>
      </c>
      <c r="G9" s="168"/>
    </row>
    <row r="10" spans="1:7" s="123" customFormat="1" ht="17.100000000000001" customHeight="1" x14ac:dyDescent="0.35">
      <c r="A10" s="121" t="s">
        <v>482</v>
      </c>
      <c r="B10" s="122">
        <v>1640.69</v>
      </c>
      <c r="C10" s="122">
        <v>1660.45</v>
      </c>
      <c r="D10" s="122">
        <v>1440.3</v>
      </c>
      <c r="E10" s="122">
        <v>1636.5</v>
      </c>
      <c r="F10" s="122">
        <v>1857.9</v>
      </c>
      <c r="G10" s="169">
        <v>1078.8</v>
      </c>
    </row>
    <row r="11" spans="1:7" s="148" customFormat="1" ht="17.100000000000001" customHeight="1" x14ac:dyDescent="0.35">
      <c r="A11" s="163" t="s">
        <v>5</v>
      </c>
      <c r="B11" s="119">
        <f>45643222/164068528</f>
        <v>0.27819608401679569</v>
      </c>
      <c r="C11" s="119">
        <v>0.32900000000000001</v>
      </c>
      <c r="D11" s="119">
        <v>0.378</v>
      </c>
      <c r="E11" s="119">
        <f>55080112/163650953</f>
        <v>0.33657067673782504</v>
      </c>
      <c r="F11" s="119">
        <v>0.30049999999999999</v>
      </c>
      <c r="G11" s="170">
        <f>307.9/G10</f>
        <v>0.28540971449758989</v>
      </c>
    </row>
    <row r="12" spans="1:7" s="148" customFormat="1" ht="17.100000000000001" customHeight="1" x14ac:dyDescent="0.35">
      <c r="A12" s="163" t="s">
        <v>483</v>
      </c>
      <c r="B12" s="119">
        <f>37020638/164068528</f>
        <v>0.22564131251302505</v>
      </c>
      <c r="C12" s="119">
        <f>40766835/166044963</f>
        <v>0.24551684232661727</v>
      </c>
      <c r="D12" s="119">
        <v>0.26200000000000001</v>
      </c>
      <c r="E12" s="119">
        <f>41618313/163650953</f>
        <v>0.25431146129653154</v>
      </c>
      <c r="F12" s="119">
        <v>0.23599999999999999</v>
      </c>
      <c r="G12" s="170">
        <f>G4/G10</f>
        <v>0.19262143121987396</v>
      </c>
    </row>
    <row r="13" spans="1:7" ht="17.100000000000001" customHeight="1" x14ac:dyDescent="0.35">
      <c r="A13" s="85" t="s">
        <v>58</v>
      </c>
      <c r="B13" s="112">
        <v>33.72</v>
      </c>
      <c r="C13" s="112">
        <v>29.5</v>
      </c>
      <c r="D13" s="112">
        <v>26.22</v>
      </c>
      <c r="E13" s="112">
        <v>26.46</v>
      </c>
      <c r="F13" s="112">
        <v>35.130000000000003</v>
      </c>
      <c r="G13" s="168">
        <v>18.72</v>
      </c>
    </row>
    <row r="14" spans="1:7" ht="17.100000000000001" customHeight="1" x14ac:dyDescent="0.35">
      <c r="A14" s="85" t="s">
        <v>59</v>
      </c>
      <c r="B14" s="112">
        <v>31.8</v>
      </c>
      <c r="C14" s="112">
        <v>28.49</v>
      </c>
      <c r="D14" s="112">
        <v>29.67</v>
      </c>
      <c r="E14" s="112">
        <v>27.3</v>
      </c>
      <c r="F14" s="112">
        <v>26.31</v>
      </c>
      <c r="G14" s="168">
        <v>16.670000000000002</v>
      </c>
    </row>
    <row r="15" spans="1:7" ht="17.100000000000001" customHeight="1" x14ac:dyDescent="0.35">
      <c r="A15" s="85"/>
      <c r="B15" s="112"/>
      <c r="C15" s="112"/>
      <c r="D15" s="112"/>
      <c r="E15" s="112"/>
      <c r="F15" s="112"/>
      <c r="G15" s="168"/>
    </row>
    <row r="16" spans="1:7" ht="17.100000000000001" customHeight="1" x14ac:dyDescent="0.35">
      <c r="A16" s="85" t="s">
        <v>96</v>
      </c>
      <c r="B16" s="112">
        <v>1685</v>
      </c>
      <c r="C16" s="112">
        <v>1973</v>
      </c>
      <c r="D16" s="112">
        <v>2440</v>
      </c>
      <c r="E16" s="112">
        <v>3206</v>
      </c>
      <c r="F16" s="112">
        <v>3607.2</v>
      </c>
      <c r="G16" s="168">
        <v>2072.1</v>
      </c>
    </row>
    <row r="17" spans="1:7" ht="17.100000000000001" customHeight="1" x14ac:dyDescent="0.35">
      <c r="A17" s="85" t="s">
        <v>491</v>
      </c>
      <c r="B17" s="112">
        <v>1304</v>
      </c>
      <c r="C17" s="112">
        <v>1446</v>
      </c>
      <c r="D17" s="112">
        <v>1593</v>
      </c>
      <c r="E17" s="112">
        <v>1794</v>
      </c>
      <c r="F17" s="112">
        <v>1917</v>
      </c>
      <c r="G17" s="168">
        <v>1050</v>
      </c>
    </row>
    <row r="18" spans="1:7" s="166" customFormat="1" ht="17.100000000000001" customHeight="1" x14ac:dyDescent="0.35">
      <c r="A18" s="165" t="s">
        <v>85</v>
      </c>
      <c r="B18" s="171">
        <f t="shared" ref="B18:E18" si="0">B16/B17*10000</f>
        <v>12921.779141104294</v>
      </c>
      <c r="C18" s="171">
        <f t="shared" si="0"/>
        <v>13644.536652835408</v>
      </c>
      <c r="D18" s="171">
        <f t="shared" si="0"/>
        <v>15317.011927181418</v>
      </c>
      <c r="E18" s="171">
        <f t="shared" si="0"/>
        <v>17870.680044593089</v>
      </c>
      <c r="F18" s="171">
        <f>F16/F17*10000</f>
        <v>18816.901408450703</v>
      </c>
      <c r="G18" s="171">
        <f>G16/G17*10000</f>
        <v>19734.285714285714</v>
      </c>
    </row>
    <row r="19" spans="1:7" ht="17.100000000000001" customHeight="1" x14ac:dyDescent="0.35">
      <c r="A19" s="85" t="s">
        <v>499</v>
      </c>
      <c r="B19" s="112">
        <v>5677</v>
      </c>
      <c r="C19" s="112">
        <v>6375</v>
      </c>
      <c r="D19" s="112">
        <v>7010</v>
      </c>
      <c r="E19" s="112">
        <v>6522</v>
      </c>
      <c r="F19" s="112">
        <v>6179</v>
      </c>
      <c r="G19" s="168">
        <v>5940</v>
      </c>
    </row>
    <row r="20" spans="1:7" ht="17.100000000000001" customHeight="1" x14ac:dyDescent="0.35">
      <c r="A20" s="85" t="s">
        <v>492</v>
      </c>
      <c r="B20" s="112">
        <f>5677+1774</f>
        <v>7451</v>
      </c>
      <c r="C20" s="112">
        <f>6375+1903</f>
        <v>8278</v>
      </c>
      <c r="D20" s="112">
        <v>9144</v>
      </c>
      <c r="E20" s="112">
        <v>8923</v>
      </c>
      <c r="F20" s="112">
        <v>9190</v>
      </c>
      <c r="G20" s="168">
        <f>5940+3284</f>
        <v>9224</v>
      </c>
    </row>
    <row r="21" spans="1:7" ht="17.100000000000001" customHeight="1" x14ac:dyDescent="0.35">
      <c r="A21" s="85" t="s">
        <v>493</v>
      </c>
      <c r="B21" s="112">
        <f>4881+1653</f>
        <v>6534</v>
      </c>
      <c r="C21" s="112">
        <f>5378+1791</f>
        <v>7169</v>
      </c>
      <c r="D21" s="112">
        <f>5697+1998</f>
        <v>7695</v>
      </c>
      <c r="E21" s="112">
        <f>5317+2194</f>
        <v>7511</v>
      </c>
      <c r="F21" s="112">
        <f>5236+2662</f>
        <v>7898</v>
      </c>
      <c r="G21" s="168">
        <f>4985+2892</f>
        <v>7877</v>
      </c>
    </row>
    <row r="22" spans="1:7" ht="17.100000000000001" customHeight="1" x14ac:dyDescent="0.35">
      <c r="A22" s="85" t="s">
        <v>488</v>
      </c>
      <c r="B22" s="112">
        <v>18</v>
      </c>
      <c r="C22" s="112">
        <v>76</v>
      </c>
      <c r="D22" s="112">
        <v>63</v>
      </c>
      <c r="E22" s="112">
        <v>53</v>
      </c>
      <c r="F22" s="112">
        <v>64</v>
      </c>
      <c r="G22" s="168">
        <v>49</v>
      </c>
    </row>
    <row r="23" spans="1:7" s="115" customFormat="1" ht="44.25" customHeight="1" x14ac:dyDescent="0.2">
      <c r="A23" s="135" t="s">
        <v>500</v>
      </c>
      <c r="B23" s="173" t="s">
        <v>504</v>
      </c>
      <c r="C23" s="114">
        <v>1741</v>
      </c>
      <c r="D23" s="114">
        <v>1764</v>
      </c>
      <c r="E23" s="114">
        <v>1146</v>
      </c>
      <c r="F23" s="114">
        <v>1349</v>
      </c>
      <c r="G23" s="132">
        <v>489</v>
      </c>
    </row>
    <row r="24" spans="1:7" ht="17.100000000000001" customHeight="1" x14ac:dyDescent="0.35">
      <c r="A24" s="85" t="s">
        <v>489</v>
      </c>
      <c r="B24" s="112"/>
      <c r="C24" s="112"/>
      <c r="D24" s="112">
        <f>1443*0.85</f>
        <v>1226.55</v>
      </c>
      <c r="E24" s="112">
        <v>1485.2</v>
      </c>
      <c r="F24" s="112">
        <v>1357.9</v>
      </c>
      <c r="G24" s="168">
        <v>778.1</v>
      </c>
    </row>
    <row r="25" spans="1:7" ht="17.100000000000001" customHeight="1" x14ac:dyDescent="0.35">
      <c r="A25" s="85" t="s">
        <v>490</v>
      </c>
      <c r="B25" s="112"/>
      <c r="C25" s="112"/>
      <c r="D25" s="112"/>
      <c r="E25" s="112"/>
      <c r="F25" s="112">
        <v>2741.7</v>
      </c>
      <c r="G25" s="168">
        <v>1746.4</v>
      </c>
    </row>
    <row r="26" spans="1:7" ht="17.100000000000001" hidden="1" customHeight="1" x14ac:dyDescent="0.35">
      <c r="A26" s="85" t="s">
        <v>486</v>
      </c>
      <c r="B26" s="112"/>
      <c r="C26" s="112"/>
      <c r="D26" s="112"/>
      <c r="E26" s="112"/>
      <c r="F26" s="112"/>
      <c r="G26" s="168">
        <v>20</v>
      </c>
    </row>
    <row r="27" spans="1:7" ht="17.100000000000001" hidden="1" customHeight="1" x14ac:dyDescent="0.35">
      <c r="A27" s="85" t="s">
        <v>487</v>
      </c>
      <c r="B27" s="112"/>
      <c r="C27" s="112"/>
      <c r="D27" s="112"/>
      <c r="E27" s="112"/>
      <c r="F27" s="112"/>
      <c r="G27" s="172">
        <v>489</v>
      </c>
    </row>
    <row r="28" spans="1:7" ht="17.100000000000001" hidden="1" customHeight="1" x14ac:dyDescent="0.35">
      <c r="A28" s="85" t="s">
        <v>82</v>
      </c>
      <c r="B28" s="112"/>
      <c r="C28" s="112"/>
      <c r="D28" s="112"/>
      <c r="E28" s="112"/>
      <c r="F28" s="124"/>
      <c r="G28" s="168"/>
    </row>
    <row r="29" spans="1:7" ht="17.100000000000001" customHeight="1" x14ac:dyDescent="0.35">
      <c r="A29" s="85"/>
      <c r="B29" s="112"/>
      <c r="C29" s="112"/>
      <c r="D29" s="112"/>
      <c r="E29" s="112"/>
      <c r="F29" s="124"/>
      <c r="G29" s="168"/>
    </row>
    <row r="30" spans="1:7" ht="17.100000000000001" customHeight="1" x14ac:dyDescent="0.35">
      <c r="A30" s="85" t="s">
        <v>494</v>
      </c>
      <c r="B30" s="112">
        <f>1982.3*0.85</f>
        <v>1684.9549999999999</v>
      </c>
      <c r="C30" s="112">
        <f>1297.8*0.85</f>
        <v>1103.1299999999999</v>
      </c>
      <c r="D30" s="112">
        <f>1222.1*0.85</f>
        <v>1038.7849999999999</v>
      </c>
      <c r="E30" s="112">
        <v>1327.4</v>
      </c>
      <c r="F30" s="112">
        <v>1738.5</v>
      </c>
      <c r="G30" s="168">
        <v>1704.9</v>
      </c>
    </row>
    <row r="31" spans="1:7" ht="17.100000000000001" customHeight="1" x14ac:dyDescent="0.35">
      <c r="A31" s="85" t="s">
        <v>481</v>
      </c>
      <c r="B31" s="112">
        <f>0.85*410.7</f>
        <v>349.09499999999997</v>
      </c>
      <c r="C31" s="112">
        <f>1040.5*0.85</f>
        <v>884.42499999999995</v>
      </c>
      <c r="D31" s="112">
        <f>1005.6*0.85</f>
        <v>854.76</v>
      </c>
      <c r="E31" s="112">
        <v>954.5</v>
      </c>
      <c r="F31" s="112">
        <v>1104.7</v>
      </c>
      <c r="G31" s="168">
        <v>1174.3</v>
      </c>
    </row>
    <row r="32" spans="1:7" ht="17.100000000000001" hidden="1" customHeight="1" x14ac:dyDescent="0.35">
      <c r="A32" s="85" t="s">
        <v>495</v>
      </c>
      <c r="B32" s="112"/>
      <c r="C32" s="112"/>
      <c r="D32" s="112"/>
      <c r="E32" s="112"/>
      <c r="F32" s="112"/>
      <c r="G32" s="168">
        <v>183.6</v>
      </c>
    </row>
    <row r="33" spans="1:11" ht="16.5" customHeight="1" x14ac:dyDescent="0.35">
      <c r="A33" s="85" t="s">
        <v>496</v>
      </c>
      <c r="B33" s="112">
        <f>0.85*410.7</f>
        <v>349.09499999999997</v>
      </c>
      <c r="C33" s="112">
        <f>0.85*257.3</f>
        <v>218.70500000000001</v>
      </c>
      <c r="D33" s="112">
        <f>216.5*0.85</f>
        <v>184.02500000000001</v>
      </c>
      <c r="E33" s="112">
        <v>372.9</v>
      </c>
      <c r="F33" s="112">
        <v>633.79999999999995</v>
      </c>
      <c r="G33" s="168">
        <v>530.6</v>
      </c>
    </row>
    <row r="34" spans="1:11" ht="17.100000000000001" customHeight="1" x14ac:dyDescent="0.35">
      <c r="A34" s="85" t="s">
        <v>480</v>
      </c>
      <c r="B34" s="112">
        <f>1738.2*0.85</f>
        <v>1477.47</v>
      </c>
      <c r="C34" s="112">
        <f>1782.4*0.85</f>
        <v>1515.04</v>
      </c>
      <c r="D34" s="112">
        <f>1959.5*0.85</f>
        <v>1665.575</v>
      </c>
      <c r="E34" s="112">
        <v>1899.6</v>
      </c>
      <c r="F34" s="112">
        <v>2129.8000000000002</v>
      </c>
      <c r="G34" s="168">
        <v>2284.5</v>
      </c>
    </row>
    <row r="35" spans="1:11" ht="17.100000000000001" customHeight="1" x14ac:dyDescent="0.35">
      <c r="A35" s="85" t="s">
        <v>501</v>
      </c>
      <c r="B35" s="167">
        <f>344.7*0.85</f>
        <v>292.995</v>
      </c>
      <c r="C35" s="167">
        <f>133.3*0.85</f>
        <v>113.30500000000001</v>
      </c>
      <c r="D35" s="112">
        <f>309*0.85</f>
        <v>262.64999999999998</v>
      </c>
      <c r="E35" s="112">
        <v>320.8</v>
      </c>
      <c r="F35" s="112">
        <v>438</v>
      </c>
      <c r="G35" s="168">
        <v>452.3</v>
      </c>
    </row>
    <row r="36" spans="1:11" ht="17.100000000000001" customHeight="1" x14ac:dyDescent="0.35">
      <c r="A36" s="85" t="s">
        <v>185</v>
      </c>
      <c r="B36" s="119">
        <v>4.7600000000000003E-2</v>
      </c>
      <c r="C36" s="119">
        <v>4.2700000000000002E-2</v>
      </c>
      <c r="D36" s="119">
        <v>4.2999999999999997E-2</v>
      </c>
      <c r="E36" s="119">
        <v>4.2000000000000003E-2</v>
      </c>
      <c r="F36" s="119">
        <v>3.7999999999999999E-2</v>
      </c>
      <c r="G36" s="170">
        <v>3.5999999999999997E-2</v>
      </c>
    </row>
    <row r="37" spans="1:11" ht="17.100000000000001" customHeight="1" x14ac:dyDescent="0.35">
      <c r="A37" s="85" t="s">
        <v>503</v>
      </c>
      <c r="B37" s="112">
        <f>88.2*0.85</f>
        <v>74.97</v>
      </c>
      <c r="C37" s="112">
        <f>74.9*0.85</f>
        <v>63.665000000000006</v>
      </c>
      <c r="D37" s="112">
        <f>93.6*0.85</f>
        <v>79.559999999999988</v>
      </c>
      <c r="E37" s="122">
        <v>89.7</v>
      </c>
      <c r="F37" s="122">
        <v>85.5</v>
      </c>
      <c r="G37" s="169"/>
      <c r="H37" s="123"/>
      <c r="I37" s="123"/>
      <c r="J37" s="123"/>
      <c r="K37" s="123"/>
    </row>
    <row r="38" spans="1:11" ht="17.100000000000001" customHeight="1" x14ac:dyDescent="0.25">
      <c r="B38" s="112"/>
      <c r="C38" s="112"/>
      <c r="D38" s="112"/>
      <c r="E38" s="112"/>
      <c r="F38" s="112"/>
      <c r="G38" s="168"/>
    </row>
    <row r="39" spans="1:11" ht="17.100000000000001" customHeight="1" x14ac:dyDescent="0.35">
      <c r="A39" s="85" t="s">
        <v>485</v>
      </c>
      <c r="B39" s="119">
        <v>0.60189999999999999</v>
      </c>
      <c r="C39" s="119">
        <v>0.57620000000000005</v>
      </c>
      <c r="D39" s="119">
        <v>0.59519999999999995</v>
      </c>
      <c r="E39" s="119">
        <v>0.60060000000000002</v>
      </c>
      <c r="F39" s="119">
        <v>0.60099999999999998</v>
      </c>
      <c r="G39" s="170">
        <v>0.60199999999999998</v>
      </c>
    </row>
    <row r="40" spans="1:11" ht="17.100000000000001" customHeight="1" x14ac:dyDescent="0.35">
      <c r="A40" s="85" t="s">
        <v>114</v>
      </c>
      <c r="B40" s="167">
        <f t="shared" ref="B40:E40" si="1">B31/B35</f>
        <v>1.1914708442123585</v>
      </c>
      <c r="C40" s="167">
        <f>C31/C35</f>
        <v>7.8057014253563386</v>
      </c>
      <c r="D40" s="167">
        <f t="shared" si="1"/>
        <v>3.2543689320388354</v>
      </c>
      <c r="E40" s="167">
        <f t="shared" si="1"/>
        <v>2.9753740648379052</v>
      </c>
      <c r="F40" s="167">
        <f>F31/F35</f>
        <v>2.5221461187214613</v>
      </c>
      <c r="G40" s="167">
        <f>G31/G35</f>
        <v>2.5962856511165153</v>
      </c>
    </row>
    <row r="41" spans="1:11" ht="17.100000000000001" customHeight="1" x14ac:dyDescent="0.35">
      <c r="A41" s="85" t="s">
        <v>17</v>
      </c>
      <c r="B41" s="119">
        <v>7.4999999999999997E-2</v>
      </c>
      <c r="C41" s="119">
        <v>0.27900000000000003</v>
      </c>
      <c r="D41" s="119">
        <v>0.33700000000000002</v>
      </c>
      <c r="E41" s="119">
        <v>0.33700000000000002</v>
      </c>
      <c r="F41" s="119">
        <v>0.32600000000000001</v>
      </c>
      <c r="G41" s="170">
        <v>0.33800000000000002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B9B8-280B-464D-A4A9-173D0C834CF5}">
  <dimension ref="A1:F23"/>
  <sheetViews>
    <sheetView workbookViewId="0">
      <selection activeCell="C18" sqref="C18"/>
    </sheetView>
  </sheetViews>
  <sheetFormatPr defaultRowHeight="18" customHeight="1" x14ac:dyDescent="0.2"/>
  <cols>
    <col min="1" max="1" width="23.75" style="162" customWidth="1"/>
    <col min="2" max="2" width="9.375" style="35" customWidth="1"/>
    <col min="3" max="3" width="9.875" style="35" customWidth="1"/>
    <col min="4" max="4" width="10.375" style="35" customWidth="1"/>
    <col min="5" max="5" width="10.625" style="35" customWidth="1"/>
    <col min="6" max="6" width="9.375" style="35" customWidth="1"/>
    <col min="7" max="7" width="9" style="35"/>
    <col min="8" max="11" width="9" style="35" customWidth="1"/>
    <col min="12" max="14" width="9" style="35"/>
    <col min="15" max="15" width="6.625" style="35" customWidth="1"/>
    <col min="16" max="27" width="9" style="35" customWidth="1"/>
    <col min="28" max="28" width="9" style="35"/>
    <col min="29" max="29" width="7.125" style="35" customWidth="1"/>
    <col min="30" max="30" width="10" style="35" customWidth="1"/>
    <col min="31" max="16384" width="9" style="35"/>
  </cols>
  <sheetData>
    <row r="1" spans="1:6" s="155" customFormat="1" ht="18" customHeight="1" x14ac:dyDescent="0.2">
      <c r="A1" s="8" t="s">
        <v>42</v>
      </c>
      <c r="B1" s="155" t="s">
        <v>4</v>
      </c>
      <c r="C1" s="155" t="s">
        <v>3</v>
      </c>
      <c r="D1" s="155" t="s">
        <v>2</v>
      </c>
      <c r="E1" s="155" t="s">
        <v>1</v>
      </c>
      <c r="F1" s="155" t="s">
        <v>466</v>
      </c>
    </row>
    <row r="2" spans="1:6" ht="18" customHeight="1" x14ac:dyDescent="0.2">
      <c r="A2" s="150" t="s">
        <v>32</v>
      </c>
      <c r="B2" s="35">
        <v>936.71</v>
      </c>
      <c r="C2" s="35">
        <v>1213.3</v>
      </c>
      <c r="D2" s="35">
        <v>1519.39</v>
      </c>
      <c r="E2" s="35">
        <v>1751.02</v>
      </c>
      <c r="F2" s="35">
        <v>1845</v>
      </c>
    </row>
    <row r="3" spans="1:6" ht="18" customHeight="1" x14ac:dyDescent="0.2">
      <c r="A3" s="150" t="s">
        <v>471</v>
      </c>
      <c r="B3" s="35">
        <v>229.41</v>
      </c>
      <c r="C3" s="35">
        <v>520.78</v>
      </c>
      <c r="D3" s="35">
        <v>666.69</v>
      </c>
      <c r="E3" s="35">
        <v>819.01</v>
      </c>
      <c r="F3" s="35">
        <v>931.95</v>
      </c>
    </row>
    <row r="4" spans="1:6" ht="18" customHeight="1" x14ac:dyDescent="0.2">
      <c r="A4" s="151" t="s">
        <v>24</v>
      </c>
      <c r="B4" s="35">
        <v>260.64</v>
      </c>
      <c r="C4" s="35">
        <v>346.18</v>
      </c>
      <c r="D4" s="35">
        <v>395.5</v>
      </c>
      <c r="E4" s="35">
        <v>350.22</v>
      </c>
      <c r="F4" s="35">
        <v>149.96</v>
      </c>
    </row>
    <row r="5" spans="1:6" s="156" customFormat="1" ht="18" customHeight="1" x14ac:dyDescent="0.2">
      <c r="A5" s="149" t="s">
        <v>5</v>
      </c>
      <c r="B5" s="156">
        <f>58785/226900</f>
        <v>0.25907888937858087</v>
      </c>
      <c r="C5" s="156">
        <f>102476/379079</f>
        <v>0.27032887603903144</v>
      </c>
      <c r="D5" s="156">
        <f>126637/485908</f>
        <v>0.26061929418737706</v>
      </c>
      <c r="E5" s="156">
        <f>100905/462856</f>
        <v>0.21800516791399485</v>
      </c>
      <c r="F5" s="156">
        <f>46284/234930</f>
        <v>0.19701187587792107</v>
      </c>
    </row>
    <row r="6" spans="1:6" ht="18" customHeight="1" x14ac:dyDescent="0.2">
      <c r="A6" s="150" t="s">
        <v>478</v>
      </c>
      <c r="B6" s="156">
        <f>B4/2269</f>
        <v>0.11486998677831643</v>
      </c>
      <c r="C6" s="156">
        <f>C4/3790.79</f>
        <v>9.1321334075482943E-2</v>
      </c>
      <c r="D6" s="156">
        <f>D4/4859.08</f>
        <v>8.1394008742395677E-2</v>
      </c>
      <c r="E6" s="156">
        <f>E4/4628.56</f>
        <v>7.5665001641979368E-2</v>
      </c>
      <c r="F6" s="156">
        <f>F4/2349.3</f>
        <v>6.3831779679053333E-2</v>
      </c>
    </row>
    <row r="7" spans="1:6" ht="18" hidden="1" customHeight="1" x14ac:dyDescent="0.2">
      <c r="A7" s="151" t="s">
        <v>41</v>
      </c>
      <c r="E7" s="35">
        <v>0.45529999999999998</v>
      </c>
    </row>
    <row r="8" spans="1:6" ht="18" hidden="1" customHeight="1" x14ac:dyDescent="0.2">
      <c r="A8" s="151" t="s">
        <v>40</v>
      </c>
      <c r="E8" s="156">
        <f>E7/9</f>
        <v>5.0588888888888885E-2</v>
      </c>
    </row>
    <row r="9" spans="1:6" s="157" customFormat="1" ht="18" customHeight="1" x14ac:dyDescent="0.2">
      <c r="A9" s="150" t="s">
        <v>470</v>
      </c>
      <c r="B9" s="157">
        <v>3467.48</v>
      </c>
      <c r="C9" s="157">
        <v>5628</v>
      </c>
      <c r="D9" s="157">
        <v>6469.96</v>
      </c>
      <c r="E9" s="157">
        <v>6956.14</v>
      </c>
      <c r="F9" s="157">
        <v>7242.71</v>
      </c>
    </row>
    <row r="10" spans="1:6" s="157" customFormat="1" ht="18" customHeight="1" x14ac:dyDescent="0.2">
      <c r="A10" s="150" t="s">
        <v>469</v>
      </c>
      <c r="B10" s="157">
        <v>1484.02</v>
      </c>
      <c r="C10" s="157">
        <v>2425.4299999999998</v>
      </c>
      <c r="D10" s="157">
        <v>2683.48</v>
      </c>
      <c r="E10" s="157">
        <v>1836.23</v>
      </c>
      <c r="F10" s="157">
        <v>1862.4</v>
      </c>
    </row>
    <row r="11" spans="1:6" s="157" customFormat="1" ht="18" customHeight="1" x14ac:dyDescent="0.2">
      <c r="A11" s="150" t="s">
        <v>472</v>
      </c>
      <c r="B11" s="157">
        <v>113.18</v>
      </c>
      <c r="C11" s="157">
        <v>142</v>
      </c>
      <c r="D11" s="157">
        <v>193.63</v>
      </c>
      <c r="E11" s="157">
        <v>164.7</v>
      </c>
      <c r="F11" s="157">
        <v>183.17</v>
      </c>
    </row>
    <row r="12" spans="1:6" s="157" customFormat="1" ht="18" customHeight="1" x14ac:dyDescent="0.2">
      <c r="A12" s="150" t="s">
        <v>473</v>
      </c>
      <c r="E12" s="157">
        <v>510.64</v>
      </c>
      <c r="F12" s="157">
        <v>593.61</v>
      </c>
    </row>
    <row r="13" spans="1:6" ht="18" customHeight="1" x14ac:dyDescent="0.2">
      <c r="A13" s="151" t="s">
        <v>474</v>
      </c>
      <c r="B13" s="35">
        <v>2147</v>
      </c>
      <c r="C13" s="35">
        <v>3284</v>
      </c>
      <c r="D13" s="35">
        <v>3696</v>
      </c>
      <c r="E13" s="35">
        <v>3264.9</v>
      </c>
      <c r="F13" s="35">
        <v>3242.4</v>
      </c>
    </row>
    <row r="14" spans="1:6" ht="18" customHeight="1" x14ac:dyDescent="0.2">
      <c r="A14" s="151" t="s">
        <v>467</v>
      </c>
      <c r="B14" s="156">
        <v>5.2200000000000003E-2</v>
      </c>
      <c r="C14" s="156">
        <v>6.1100000000000002E-2</v>
      </c>
      <c r="D14" s="156">
        <f>E14+0.0078</f>
        <v>6.3399999999999998E-2</v>
      </c>
      <c r="E14" s="156">
        <v>5.5599999999999997E-2</v>
      </c>
      <c r="F14" s="156">
        <v>5.3900000000000003E-2</v>
      </c>
    </row>
    <row r="15" spans="1:6" ht="18" customHeight="1" x14ac:dyDescent="0.2">
      <c r="A15" s="151" t="s">
        <v>475</v>
      </c>
      <c r="B15" s="35">
        <v>476.72</v>
      </c>
      <c r="C15" s="157">
        <v>918.44</v>
      </c>
      <c r="D15" s="157">
        <v>800.57</v>
      </c>
      <c r="E15" s="157">
        <v>682.18</v>
      </c>
      <c r="F15" s="35">
        <v>648.39</v>
      </c>
    </row>
    <row r="16" spans="1:6" ht="18" customHeight="1" x14ac:dyDescent="0.2">
      <c r="A16" s="151" t="s">
        <v>477</v>
      </c>
      <c r="C16" s="35">
        <v>5018.8</v>
      </c>
      <c r="D16" s="158">
        <v>5522</v>
      </c>
      <c r="E16" s="35">
        <v>5706.6</v>
      </c>
      <c r="F16" s="35">
        <v>3030.9</v>
      </c>
    </row>
    <row r="17" spans="1:6" ht="18" customHeight="1" x14ac:dyDescent="0.2">
      <c r="A17" s="151" t="s">
        <v>476</v>
      </c>
      <c r="C17" s="35">
        <v>5416</v>
      </c>
      <c r="D17" s="158">
        <v>6237</v>
      </c>
      <c r="E17" s="35">
        <v>6733</v>
      </c>
      <c r="F17" s="35">
        <v>3451</v>
      </c>
    </row>
    <row r="18" spans="1:6" s="159" customFormat="1" ht="18" customHeight="1" x14ac:dyDescent="0.2">
      <c r="A18" s="153" t="s">
        <v>20</v>
      </c>
      <c r="C18" s="159">
        <f t="shared" ref="C18:E18" si="0">C16/C17*10000</f>
        <v>9266.617429837519</v>
      </c>
      <c r="D18" s="159">
        <f t="shared" si="0"/>
        <v>8853.6155202821865</v>
      </c>
      <c r="E18" s="159">
        <f t="shared" si="0"/>
        <v>8475.5680974305669</v>
      </c>
      <c r="F18" s="159">
        <f>F16/F17*10000</f>
        <v>8782.6716893654011</v>
      </c>
    </row>
    <row r="19" spans="1:6" s="160" customFormat="1" ht="18" hidden="1" customHeight="1" x14ac:dyDescent="0.2">
      <c r="A19" s="154" t="s">
        <v>44</v>
      </c>
      <c r="C19" s="160">
        <v>5018.8</v>
      </c>
      <c r="D19" s="160">
        <v>5522</v>
      </c>
      <c r="E19" s="160">
        <v>5193</v>
      </c>
    </row>
    <row r="20" spans="1:6" ht="18" customHeight="1" x14ac:dyDescent="0.2">
      <c r="A20" s="151" t="s">
        <v>43</v>
      </c>
      <c r="E20" s="161">
        <v>0.91</v>
      </c>
      <c r="F20" s="161">
        <v>0.9</v>
      </c>
    </row>
    <row r="21" spans="1:6" ht="18" customHeight="1" x14ac:dyDescent="0.2">
      <c r="A21" s="151" t="s">
        <v>468</v>
      </c>
      <c r="E21" s="35">
        <v>2092</v>
      </c>
      <c r="F21" s="35">
        <v>884.3</v>
      </c>
    </row>
    <row r="22" spans="1:6" ht="18" customHeight="1" x14ac:dyDescent="0.2">
      <c r="A22" s="151" t="s">
        <v>45</v>
      </c>
      <c r="B22" s="161">
        <v>0.56999999999999995</v>
      </c>
      <c r="C22" s="156">
        <v>0.496</v>
      </c>
      <c r="D22" s="156">
        <v>0.46300000000000002</v>
      </c>
      <c r="E22" s="156">
        <v>0.55600000000000005</v>
      </c>
      <c r="F22" s="156">
        <v>0.497</v>
      </c>
    </row>
    <row r="23" spans="1:6" ht="18" customHeight="1" x14ac:dyDescent="0.2">
      <c r="A23" s="152" t="s">
        <v>46</v>
      </c>
      <c r="C23" s="35">
        <f>240.6-2.2-62.2</f>
        <v>176.2</v>
      </c>
      <c r="D23" s="35">
        <f>258.6-3.7-82.6</f>
        <v>172.30000000000004</v>
      </c>
    </row>
  </sheetData>
  <phoneticPr fontId="1" type="noConversion"/>
  <conditionalFormatting sqref="A6:XFD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EAD40-F040-4AE4-AFCD-D202D55314D8}">
  <dimension ref="A1:F35"/>
  <sheetViews>
    <sheetView workbookViewId="0">
      <pane ySplit="1" topLeftCell="A2" activePane="bottomLeft" state="frozen"/>
      <selection pane="bottomLeft" activeCell="N40" sqref="N40"/>
    </sheetView>
  </sheetViews>
  <sheetFormatPr defaultRowHeight="14.25" x14ac:dyDescent="0.2"/>
  <cols>
    <col min="1" max="1" width="29.875" style="125" customWidth="1"/>
    <col min="2" max="2" width="10.375" style="126" customWidth="1"/>
    <col min="3" max="3" width="9.75" style="126" customWidth="1"/>
    <col min="4" max="4" width="10.25" style="126" customWidth="1"/>
    <col min="5" max="5" width="9.875" style="126" customWidth="1"/>
    <col min="6" max="6" width="9.125" style="126" customWidth="1"/>
    <col min="7" max="16384" width="9" style="80"/>
  </cols>
  <sheetData>
    <row r="1" spans="1:6" s="83" customFormat="1" ht="25.5" customHeight="1" x14ac:dyDescent="0.2">
      <c r="A1" s="83" t="s">
        <v>465</v>
      </c>
      <c r="B1" s="87" t="s">
        <v>68</v>
      </c>
      <c r="C1" s="87" t="s">
        <v>69</v>
      </c>
      <c r="D1" s="87" t="s">
        <v>70</v>
      </c>
      <c r="E1" s="87" t="s">
        <v>71</v>
      </c>
      <c r="F1" s="87" t="s">
        <v>72</v>
      </c>
    </row>
    <row r="2" spans="1:6" ht="17.100000000000001" customHeight="1" x14ac:dyDescent="0.35">
      <c r="A2" s="85" t="s">
        <v>129</v>
      </c>
      <c r="B2" s="112"/>
      <c r="C2" s="112"/>
      <c r="D2" s="112"/>
      <c r="E2" s="112"/>
      <c r="F2" s="112"/>
    </row>
    <row r="3" spans="1:6" ht="17.100000000000001" customHeight="1" x14ac:dyDescent="0.35">
      <c r="A3" s="85" t="s">
        <v>127</v>
      </c>
      <c r="B3" s="112"/>
      <c r="C3" s="112"/>
      <c r="D3" s="112"/>
      <c r="E3" s="112"/>
      <c r="F3" s="112"/>
    </row>
    <row r="4" spans="1:6" s="115" customFormat="1" ht="17.100000000000001" customHeight="1" x14ac:dyDescent="0.2">
      <c r="A4" s="113" t="s">
        <v>311</v>
      </c>
      <c r="B4" s="114"/>
      <c r="C4" s="114"/>
      <c r="D4" s="114"/>
      <c r="E4" s="114"/>
      <c r="F4" s="114"/>
    </row>
    <row r="5" spans="1:6" s="118" customFormat="1" ht="17.100000000000001" customHeight="1" x14ac:dyDescent="0.2">
      <c r="A5" s="116" t="s">
        <v>432</v>
      </c>
      <c r="B5" s="117"/>
      <c r="C5" s="117"/>
      <c r="D5" s="117"/>
      <c r="E5" s="117"/>
      <c r="F5" s="117"/>
    </row>
    <row r="6" spans="1:6" ht="17.100000000000001" customHeight="1" x14ac:dyDescent="0.35">
      <c r="A6" s="85" t="s">
        <v>124</v>
      </c>
      <c r="B6" s="119"/>
      <c r="C6" s="120"/>
      <c r="D6" s="120"/>
      <c r="E6" s="120"/>
      <c r="F6" s="119"/>
    </row>
    <row r="7" spans="1:6" s="123" customFormat="1" ht="17.100000000000001" customHeight="1" x14ac:dyDescent="0.35">
      <c r="A7" s="121" t="s">
        <v>426</v>
      </c>
      <c r="B7" s="122"/>
      <c r="C7" s="122"/>
      <c r="D7" s="122"/>
      <c r="E7" s="122"/>
      <c r="F7" s="122"/>
    </row>
    <row r="8" spans="1:6" ht="17.100000000000001" customHeight="1" x14ac:dyDescent="0.35">
      <c r="A8" s="85" t="s">
        <v>125</v>
      </c>
      <c r="B8" s="119"/>
      <c r="C8" s="119"/>
      <c r="D8" s="119"/>
      <c r="E8" s="119"/>
      <c r="F8" s="119"/>
    </row>
    <row r="9" spans="1:6" ht="17.100000000000001" customHeight="1" x14ac:dyDescent="0.35">
      <c r="A9" s="85" t="s">
        <v>126</v>
      </c>
      <c r="B9" s="112"/>
      <c r="C9" s="112"/>
      <c r="D9" s="112"/>
      <c r="E9" s="112"/>
      <c r="F9" s="112"/>
    </row>
    <row r="10" spans="1:6" ht="17.100000000000001" customHeight="1" x14ac:dyDescent="0.35">
      <c r="A10" s="85" t="s">
        <v>427</v>
      </c>
      <c r="B10" s="112"/>
      <c r="C10" s="112"/>
      <c r="D10" s="112"/>
      <c r="E10" s="112"/>
      <c r="F10" s="112"/>
    </row>
    <row r="11" spans="1:6" ht="17.100000000000001" customHeight="1" x14ac:dyDescent="0.35">
      <c r="A11" s="85" t="s">
        <v>75</v>
      </c>
      <c r="B11" s="112"/>
      <c r="C11" s="112"/>
      <c r="D11" s="112"/>
      <c r="E11" s="112"/>
      <c r="F11" s="112"/>
    </row>
    <row r="12" spans="1:6" ht="17.100000000000001" customHeight="1" x14ac:dyDescent="0.35">
      <c r="A12" s="85" t="s">
        <v>76</v>
      </c>
      <c r="B12" s="112"/>
      <c r="C12" s="112"/>
      <c r="D12" s="112"/>
      <c r="E12" s="112"/>
      <c r="F12" s="112"/>
    </row>
    <row r="13" spans="1:6" ht="17.100000000000001" customHeight="1" x14ac:dyDescent="0.35">
      <c r="A13" s="85" t="s">
        <v>78</v>
      </c>
      <c r="B13" s="112"/>
      <c r="C13" s="112"/>
      <c r="D13" s="112"/>
      <c r="E13" s="112"/>
      <c r="F13" s="112"/>
    </row>
    <row r="14" spans="1:6" ht="17.100000000000001" customHeight="1" x14ac:dyDescent="0.35">
      <c r="A14" s="85" t="s">
        <v>38</v>
      </c>
      <c r="B14" s="112"/>
      <c r="C14" s="112"/>
      <c r="D14" s="112"/>
      <c r="E14" s="112"/>
      <c r="F14" s="112"/>
    </row>
    <row r="15" spans="1:6" ht="17.100000000000001" customHeight="1" x14ac:dyDescent="0.35">
      <c r="A15" s="85" t="s">
        <v>58</v>
      </c>
      <c r="B15" s="112"/>
      <c r="C15" s="112"/>
      <c r="D15" s="112"/>
      <c r="E15" s="112"/>
      <c r="F15" s="112"/>
    </row>
    <row r="16" spans="1:6" ht="17.100000000000001" customHeight="1" x14ac:dyDescent="0.35">
      <c r="A16" s="85" t="s">
        <v>59</v>
      </c>
      <c r="B16" s="112"/>
      <c r="C16" s="112"/>
      <c r="D16" s="112"/>
      <c r="E16" s="112"/>
      <c r="F16" s="112"/>
    </row>
    <row r="17" spans="1:6" ht="17.100000000000001" customHeight="1" x14ac:dyDescent="0.35">
      <c r="A17" s="85"/>
      <c r="B17" s="112"/>
      <c r="C17" s="112"/>
      <c r="D17" s="112"/>
      <c r="E17" s="112"/>
      <c r="F17" s="112"/>
    </row>
    <row r="18" spans="1:6" ht="17.100000000000001" customHeight="1" x14ac:dyDescent="0.35">
      <c r="A18" s="85" t="s">
        <v>73</v>
      </c>
      <c r="B18" s="112"/>
      <c r="C18" s="112"/>
      <c r="D18" s="112"/>
      <c r="E18" s="112"/>
      <c r="F18" s="112"/>
    </row>
    <row r="19" spans="1:6" ht="17.100000000000001" customHeight="1" x14ac:dyDescent="0.35">
      <c r="A19" s="85" t="s">
        <v>74</v>
      </c>
      <c r="B19" s="112"/>
      <c r="C19" s="112"/>
      <c r="D19" s="112"/>
      <c r="E19" s="112"/>
      <c r="F19" s="112"/>
    </row>
    <row r="20" spans="1:6" ht="17.100000000000001" customHeight="1" x14ac:dyDescent="0.35">
      <c r="A20" s="85" t="s">
        <v>26</v>
      </c>
      <c r="B20" s="112"/>
      <c r="C20" s="112"/>
      <c r="D20" s="112"/>
      <c r="E20" s="112"/>
      <c r="F20" s="112"/>
    </row>
    <row r="21" spans="1:6" ht="17.100000000000001" customHeight="1" x14ac:dyDescent="0.35">
      <c r="A21" s="85" t="s">
        <v>79</v>
      </c>
      <c r="B21" s="112"/>
      <c r="C21" s="112"/>
      <c r="D21" s="112"/>
      <c r="E21" s="112"/>
      <c r="F21" s="112"/>
    </row>
    <row r="22" spans="1:6" ht="17.100000000000001" customHeight="1" x14ac:dyDescent="0.35">
      <c r="A22" s="85" t="s">
        <v>82</v>
      </c>
      <c r="B22" s="112"/>
      <c r="C22" s="112"/>
      <c r="D22" s="112"/>
      <c r="E22" s="112"/>
      <c r="F22" s="124"/>
    </row>
    <row r="23" spans="1:6" ht="17.100000000000001" customHeight="1" x14ac:dyDescent="0.35">
      <c r="A23" s="85" t="s">
        <v>83</v>
      </c>
      <c r="B23" s="112"/>
      <c r="C23" s="112"/>
      <c r="D23" s="112"/>
      <c r="E23" s="112"/>
      <c r="F23" s="112"/>
    </row>
    <row r="24" spans="1:6" ht="17.100000000000001" customHeight="1" x14ac:dyDescent="0.35">
      <c r="A24" s="85" t="s">
        <v>402</v>
      </c>
      <c r="B24" s="112"/>
      <c r="C24" s="112"/>
      <c r="D24" s="112"/>
      <c r="E24" s="112"/>
      <c r="F24" s="112"/>
    </row>
    <row r="25" spans="1:6" ht="17.100000000000001" customHeight="1" x14ac:dyDescent="0.35">
      <c r="A25" s="85" t="s">
        <v>403</v>
      </c>
      <c r="B25" s="112"/>
      <c r="C25" s="112"/>
      <c r="D25" s="112"/>
      <c r="E25" s="112"/>
      <c r="F25" s="112"/>
    </row>
    <row r="26" spans="1:6" ht="17.100000000000001" customHeight="1" x14ac:dyDescent="0.35">
      <c r="A26" s="85" t="s">
        <v>408</v>
      </c>
      <c r="B26" s="112"/>
      <c r="C26" s="112"/>
      <c r="D26" s="112"/>
      <c r="E26" s="112"/>
      <c r="F26" s="112"/>
    </row>
    <row r="27" spans="1:6" ht="17.100000000000001" customHeight="1" x14ac:dyDescent="0.35">
      <c r="A27" s="85" t="s">
        <v>39</v>
      </c>
      <c r="B27" s="112"/>
      <c r="C27" s="112"/>
      <c r="D27" s="112"/>
      <c r="E27" s="112"/>
      <c r="F27" s="112"/>
    </row>
    <row r="28" spans="1:6" ht="17.100000000000001" customHeight="1" x14ac:dyDescent="0.35">
      <c r="A28" s="85" t="s">
        <v>204</v>
      </c>
      <c r="B28" s="112"/>
      <c r="C28" s="112"/>
      <c r="D28" s="112"/>
      <c r="E28" s="112"/>
      <c r="F28" s="112"/>
    </row>
    <row r="29" spans="1:6" ht="17.100000000000001" customHeight="1" x14ac:dyDescent="0.35">
      <c r="A29" s="85" t="s">
        <v>397</v>
      </c>
      <c r="B29" s="112"/>
      <c r="C29" s="112"/>
      <c r="D29" s="112"/>
      <c r="E29" s="112"/>
      <c r="F29" s="112"/>
    </row>
    <row r="30" spans="1:6" ht="17.100000000000001" customHeight="1" x14ac:dyDescent="0.35">
      <c r="A30" s="85" t="s">
        <v>396</v>
      </c>
      <c r="B30" s="112"/>
      <c r="C30" s="112"/>
      <c r="D30" s="112"/>
      <c r="E30" s="112"/>
      <c r="F30" s="112"/>
    </row>
    <row r="31" spans="1:6" ht="17.100000000000001" customHeight="1" x14ac:dyDescent="0.2"/>
    <row r="32" spans="1:6" ht="17.100000000000001" customHeight="1" x14ac:dyDescent="0.35">
      <c r="A32" s="85" t="s">
        <v>114</v>
      </c>
      <c r="F32" s="112"/>
    </row>
    <row r="33" spans="1:6" ht="17.100000000000001" customHeight="1" x14ac:dyDescent="0.35">
      <c r="A33" s="85" t="s">
        <v>17</v>
      </c>
      <c r="F33" s="119"/>
    </row>
    <row r="34" spans="1:6" ht="17.100000000000001" customHeight="1" x14ac:dyDescent="0.35">
      <c r="A34" s="85" t="s">
        <v>268</v>
      </c>
      <c r="F34" s="119"/>
    </row>
    <row r="35" spans="1:6" ht="17.100000000000001" customHeight="1" x14ac:dyDescent="0.35">
      <c r="A35" s="85" t="s">
        <v>430</v>
      </c>
      <c r="F35" s="119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4F9A0-77C3-4AEE-BACA-2977B5786112}">
  <dimension ref="A1:G43"/>
  <sheetViews>
    <sheetView workbookViewId="0">
      <pane ySplit="1" topLeftCell="A2" activePane="bottomLeft" state="frozen"/>
      <selection pane="bottomLeft" activeCell="M23" sqref="M23"/>
    </sheetView>
  </sheetViews>
  <sheetFormatPr defaultRowHeight="14.25" x14ac:dyDescent="0.2"/>
  <cols>
    <col min="1" max="1" width="37.125" style="125" customWidth="1"/>
    <col min="2" max="2" width="10.375" style="126" customWidth="1"/>
    <col min="3" max="3" width="9.75" style="126" customWidth="1"/>
    <col min="4" max="4" width="10.25" style="126" customWidth="1"/>
    <col min="5" max="5" width="9.875" style="126" customWidth="1"/>
    <col min="6" max="6" width="9.125" style="126" customWidth="1"/>
    <col min="7" max="16384" width="9" style="80"/>
  </cols>
  <sheetData>
    <row r="1" spans="1:7" s="83" customFormat="1" ht="25.5" customHeight="1" x14ac:dyDescent="0.2">
      <c r="A1" s="83" t="s">
        <v>511</v>
      </c>
      <c r="B1" s="87" t="s">
        <v>68</v>
      </c>
      <c r="C1" s="87" t="s">
        <v>69</v>
      </c>
      <c r="D1" s="87" t="s">
        <v>70</v>
      </c>
      <c r="E1" s="87" t="s">
        <v>71</v>
      </c>
      <c r="F1" s="87" t="s">
        <v>72</v>
      </c>
      <c r="G1" s="87" t="s">
        <v>448</v>
      </c>
    </row>
    <row r="2" spans="1:7" ht="17.100000000000001" customHeight="1" x14ac:dyDescent="0.35">
      <c r="A2" s="85" t="s">
        <v>520</v>
      </c>
      <c r="B2" s="112"/>
      <c r="C2" s="112"/>
      <c r="D2" s="112"/>
      <c r="E2" s="112"/>
      <c r="F2" s="112">
        <v>467.62</v>
      </c>
      <c r="G2" s="80">
        <v>498.34</v>
      </c>
    </row>
    <row r="3" spans="1:7" ht="17.100000000000001" customHeight="1" x14ac:dyDescent="0.35">
      <c r="A3" s="85" t="s">
        <v>412</v>
      </c>
      <c r="B3" s="112"/>
      <c r="C3" s="112"/>
      <c r="D3" s="112"/>
      <c r="E3" s="112"/>
      <c r="F3" s="112">
        <v>550.65</v>
      </c>
      <c r="G3" s="80">
        <v>569.97</v>
      </c>
    </row>
    <row r="4" spans="1:7" ht="17.100000000000001" customHeight="1" x14ac:dyDescent="0.35">
      <c r="A4" s="85" t="s">
        <v>512</v>
      </c>
      <c r="B4" s="112"/>
      <c r="C4" s="112"/>
      <c r="D4" s="112"/>
      <c r="E4" s="112"/>
      <c r="F4" s="112"/>
      <c r="G4" s="80">
        <v>43.01</v>
      </c>
    </row>
    <row r="5" spans="1:7" s="115" customFormat="1" ht="17.100000000000001" customHeight="1" x14ac:dyDescent="0.2">
      <c r="A5" s="113" t="s">
        <v>513</v>
      </c>
      <c r="B5" s="114"/>
      <c r="C5" s="114"/>
      <c r="D5" s="114"/>
      <c r="E5" s="114"/>
      <c r="F5" s="114"/>
      <c r="G5" s="115">
        <v>34.549999999999997</v>
      </c>
    </row>
    <row r="6" spans="1:7" s="115" customFormat="1" ht="17.100000000000001" customHeight="1" x14ac:dyDescent="0.2">
      <c r="A6" s="113" t="s">
        <v>518</v>
      </c>
      <c r="B6" s="114"/>
      <c r="C6" s="114"/>
      <c r="D6" s="114"/>
      <c r="E6" s="114"/>
      <c r="F6" s="114">
        <v>434.56</v>
      </c>
      <c r="G6" s="115">
        <v>386.61</v>
      </c>
    </row>
    <row r="7" spans="1:7" s="115" customFormat="1" ht="17.100000000000001" customHeight="1" x14ac:dyDescent="0.2">
      <c r="A7" s="113" t="s">
        <v>505</v>
      </c>
      <c r="B7" s="114"/>
      <c r="C7" s="114"/>
      <c r="D7" s="114"/>
      <c r="E7" s="114"/>
      <c r="F7" s="114"/>
      <c r="G7" s="115">
        <v>284.56</v>
      </c>
    </row>
    <row r="8" spans="1:7" s="115" customFormat="1" ht="17.100000000000001" customHeight="1" x14ac:dyDescent="0.2">
      <c r="A8" s="113" t="s">
        <v>516</v>
      </c>
      <c r="B8" s="114"/>
      <c r="C8" s="114"/>
      <c r="D8" s="114"/>
      <c r="E8" s="114"/>
      <c r="F8" s="114"/>
      <c r="G8" s="181">
        <v>0.2</v>
      </c>
    </row>
    <row r="9" spans="1:7" s="115" customFormat="1" ht="17.100000000000001" customHeight="1" x14ac:dyDescent="0.2">
      <c r="A9" s="113" t="s">
        <v>517</v>
      </c>
      <c r="B9" s="114"/>
      <c r="C9" s="114"/>
      <c r="D9" s="114"/>
      <c r="E9" s="114"/>
      <c r="F9" s="114"/>
      <c r="G9" s="181">
        <v>0.16</v>
      </c>
    </row>
    <row r="10" spans="1:7" s="180" customFormat="1" ht="17.100000000000001" customHeight="1" x14ac:dyDescent="0.2">
      <c r="A10" s="179" t="s">
        <v>478</v>
      </c>
      <c r="B10" s="164"/>
      <c r="C10" s="164"/>
      <c r="D10" s="164"/>
      <c r="E10" s="164"/>
      <c r="F10" s="164"/>
      <c r="G10" s="180">
        <f>G4/G7</f>
        <v>0.15114562833848749</v>
      </c>
    </row>
    <row r="11" spans="1:7" s="180" customFormat="1" ht="17.100000000000001" customHeight="1" x14ac:dyDescent="0.2">
      <c r="A11" s="179" t="s">
        <v>514</v>
      </c>
      <c r="B11" s="164"/>
      <c r="C11" s="164"/>
      <c r="D11" s="164"/>
      <c r="E11" s="164"/>
      <c r="F11" s="164"/>
      <c r="G11" s="180">
        <f>G5/G7</f>
        <v>0.12141551869552993</v>
      </c>
    </row>
    <row r="12" spans="1:7" s="118" customFormat="1" ht="17.100000000000001" customHeight="1" x14ac:dyDescent="0.2">
      <c r="A12" s="116" t="s">
        <v>432</v>
      </c>
      <c r="B12" s="117"/>
      <c r="C12" s="117"/>
      <c r="D12" s="117"/>
      <c r="E12" s="117"/>
      <c r="F12" s="117"/>
    </row>
    <row r="13" spans="1:7" ht="17.100000000000001" customHeight="1" x14ac:dyDescent="0.35">
      <c r="A13" s="85" t="s">
        <v>124</v>
      </c>
      <c r="B13" s="119"/>
      <c r="C13" s="120"/>
      <c r="D13" s="120"/>
      <c r="E13" s="120"/>
      <c r="F13" s="119"/>
    </row>
    <row r="14" spans="1:7" s="123" customFormat="1" ht="17.100000000000001" customHeight="1" x14ac:dyDescent="0.35">
      <c r="A14" s="121" t="s">
        <v>426</v>
      </c>
      <c r="B14" s="122"/>
      <c r="C14" s="122"/>
      <c r="D14" s="122"/>
      <c r="E14" s="122"/>
      <c r="F14" s="122"/>
    </row>
    <row r="15" spans="1:7" ht="17.100000000000001" customHeight="1" x14ac:dyDescent="0.35">
      <c r="A15" s="85" t="s">
        <v>125</v>
      </c>
      <c r="B15" s="119"/>
      <c r="C15" s="119"/>
      <c r="D15" s="119"/>
      <c r="E15" s="119"/>
      <c r="F15" s="119"/>
    </row>
    <row r="16" spans="1:7" ht="17.100000000000001" customHeight="1" x14ac:dyDescent="0.35">
      <c r="A16" s="85" t="s">
        <v>126</v>
      </c>
      <c r="B16" s="112"/>
      <c r="C16" s="112"/>
      <c r="D16" s="112"/>
      <c r="E16" s="112"/>
      <c r="F16" s="112"/>
    </row>
    <row r="17" spans="1:7" ht="17.100000000000001" customHeight="1" x14ac:dyDescent="0.35">
      <c r="A17" s="85" t="s">
        <v>427</v>
      </c>
      <c r="B17" s="112"/>
      <c r="C17" s="112"/>
      <c r="D17" s="112"/>
      <c r="E17" s="112"/>
      <c r="F17" s="112"/>
    </row>
    <row r="18" spans="1:7" ht="17.100000000000001" customHeight="1" x14ac:dyDescent="0.35">
      <c r="A18" s="85" t="s">
        <v>75</v>
      </c>
      <c r="B18" s="112"/>
      <c r="C18" s="112"/>
      <c r="D18" s="112"/>
      <c r="E18" s="112"/>
      <c r="F18" s="112"/>
    </row>
    <row r="19" spans="1:7" ht="17.100000000000001" customHeight="1" x14ac:dyDescent="0.35">
      <c r="A19" s="85" t="s">
        <v>76</v>
      </c>
      <c r="B19" s="112"/>
      <c r="C19" s="112"/>
      <c r="D19" s="112"/>
      <c r="E19" s="112"/>
      <c r="F19" s="112"/>
    </row>
    <row r="20" spans="1:7" ht="17.100000000000001" customHeight="1" x14ac:dyDescent="0.35">
      <c r="A20" s="85" t="s">
        <v>78</v>
      </c>
      <c r="B20" s="112"/>
      <c r="C20" s="112"/>
      <c r="D20" s="112"/>
      <c r="E20" s="112"/>
      <c r="F20" s="112"/>
    </row>
    <row r="21" spans="1:7" ht="17.100000000000001" customHeight="1" x14ac:dyDescent="0.35">
      <c r="A21" s="85" t="s">
        <v>38</v>
      </c>
      <c r="B21" s="112"/>
      <c r="C21" s="112"/>
      <c r="D21" s="112"/>
      <c r="E21" s="112"/>
      <c r="F21" s="112"/>
    </row>
    <row r="22" spans="1:7" ht="17.100000000000001" customHeight="1" x14ac:dyDescent="0.35">
      <c r="A22" s="85" t="s">
        <v>58</v>
      </c>
      <c r="B22" s="112"/>
      <c r="C22" s="112"/>
      <c r="D22" s="112"/>
      <c r="E22" s="112"/>
      <c r="F22" s="112"/>
      <c r="G22" s="80">
        <v>6.46</v>
      </c>
    </row>
    <row r="23" spans="1:7" ht="17.100000000000001" customHeight="1" x14ac:dyDescent="0.35">
      <c r="A23" s="85" t="s">
        <v>59</v>
      </c>
      <c r="B23" s="112"/>
      <c r="C23" s="112"/>
      <c r="D23" s="112"/>
      <c r="E23" s="112"/>
      <c r="F23" s="112"/>
      <c r="G23" s="80">
        <v>20.88</v>
      </c>
    </row>
    <row r="24" spans="1:7" ht="17.100000000000001" customHeight="1" x14ac:dyDescent="0.35">
      <c r="A24" s="85"/>
      <c r="B24" s="112"/>
      <c r="C24" s="112"/>
      <c r="D24" s="112"/>
      <c r="E24" s="112"/>
      <c r="F24" s="112"/>
    </row>
    <row r="25" spans="1:7" ht="17.100000000000001" customHeight="1" x14ac:dyDescent="0.35">
      <c r="A25" s="85" t="s">
        <v>73</v>
      </c>
      <c r="B25" s="112"/>
      <c r="C25" s="112"/>
      <c r="D25" s="112"/>
      <c r="E25" s="112"/>
      <c r="F25" s="112"/>
      <c r="G25" s="80">
        <v>1302</v>
      </c>
    </row>
    <row r="26" spans="1:7" ht="17.100000000000001" customHeight="1" x14ac:dyDescent="0.35">
      <c r="A26" s="85" t="s">
        <v>74</v>
      </c>
      <c r="B26" s="112"/>
      <c r="C26" s="112"/>
      <c r="D26" s="112"/>
      <c r="E26" s="112"/>
      <c r="F26" s="112"/>
    </row>
    <row r="27" spans="1:7" ht="17.100000000000001" customHeight="1" x14ac:dyDescent="0.35">
      <c r="A27" s="85" t="s">
        <v>26</v>
      </c>
      <c r="B27" s="112"/>
      <c r="C27" s="112"/>
      <c r="D27" s="112"/>
      <c r="E27" s="112"/>
      <c r="F27" s="112"/>
    </row>
    <row r="28" spans="1:7" ht="17.100000000000001" customHeight="1" x14ac:dyDescent="0.35">
      <c r="A28" s="85" t="s">
        <v>79</v>
      </c>
      <c r="B28" s="112"/>
      <c r="C28" s="112"/>
      <c r="D28" s="112"/>
      <c r="E28" s="112"/>
      <c r="F28" s="112"/>
      <c r="G28" s="80">
        <v>898</v>
      </c>
    </row>
    <row r="29" spans="1:7" ht="17.100000000000001" customHeight="1" x14ac:dyDescent="0.35">
      <c r="A29" s="85" t="s">
        <v>82</v>
      </c>
      <c r="B29" s="112"/>
      <c r="C29" s="112"/>
      <c r="D29" s="112"/>
      <c r="E29" s="112"/>
      <c r="F29" s="124"/>
    </row>
    <row r="30" spans="1:7" ht="17.100000000000001" customHeight="1" x14ac:dyDescent="0.35">
      <c r="A30" s="85" t="s">
        <v>480</v>
      </c>
      <c r="B30" s="112"/>
      <c r="C30" s="112"/>
      <c r="D30" s="112"/>
      <c r="E30" s="112"/>
      <c r="F30" s="112">
        <v>975.78</v>
      </c>
      <c r="G30" s="80">
        <v>978.32</v>
      </c>
    </row>
    <row r="31" spans="1:7" ht="17.100000000000001" customHeight="1" x14ac:dyDescent="0.35">
      <c r="A31" s="85" t="s">
        <v>519</v>
      </c>
      <c r="B31" s="112"/>
      <c r="C31" s="112"/>
      <c r="D31" s="112"/>
      <c r="E31" s="112"/>
      <c r="F31" s="112">
        <v>277.70999999999998</v>
      </c>
      <c r="G31" s="80">
        <v>305.76</v>
      </c>
    </row>
    <row r="32" spans="1:7" ht="17.100000000000001" customHeight="1" x14ac:dyDescent="0.35">
      <c r="A32" s="85" t="s">
        <v>515</v>
      </c>
      <c r="B32" s="112"/>
      <c r="C32" s="112"/>
      <c r="D32" s="112"/>
      <c r="E32" s="112"/>
      <c r="F32" s="112"/>
      <c r="G32" s="80">
        <v>3545</v>
      </c>
    </row>
    <row r="33" spans="1:7" ht="17.100000000000001" customHeight="1" x14ac:dyDescent="0.35">
      <c r="A33" s="85" t="s">
        <v>403</v>
      </c>
      <c r="B33" s="112"/>
      <c r="C33" s="112"/>
      <c r="D33" s="112"/>
      <c r="E33" s="112"/>
      <c r="F33" s="112"/>
    </row>
    <row r="34" spans="1:7" ht="17.100000000000001" customHeight="1" x14ac:dyDescent="0.35">
      <c r="A34" s="85" t="s">
        <v>408</v>
      </c>
      <c r="B34" s="112"/>
      <c r="C34" s="112"/>
      <c r="D34" s="112"/>
      <c r="E34" s="112"/>
      <c r="F34" s="112"/>
    </row>
    <row r="35" spans="1:7" ht="17.100000000000001" customHeight="1" x14ac:dyDescent="0.35">
      <c r="A35" s="85" t="s">
        <v>39</v>
      </c>
      <c r="B35" s="112"/>
      <c r="C35" s="112"/>
      <c r="D35" s="112"/>
      <c r="E35" s="112"/>
      <c r="F35" s="112"/>
    </row>
    <row r="36" spans="1:7" ht="17.100000000000001" customHeight="1" x14ac:dyDescent="0.35">
      <c r="A36" s="85" t="s">
        <v>204</v>
      </c>
      <c r="B36" s="112"/>
      <c r="C36" s="112"/>
      <c r="D36" s="112"/>
      <c r="E36" s="112"/>
      <c r="F36" s="112"/>
    </row>
    <row r="37" spans="1:7" ht="17.100000000000001" customHeight="1" x14ac:dyDescent="0.35">
      <c r="A37" s="85" t="s">
        <v>397</v>
      </c>
      <c r="B37" s="112"/>
      <c r="C37" s="112"/>
      <c r="D37" s="112"/>
      <c r="E37" s="112"/>
      <c r="F37" s="112"/>
    </row>
    <row r="38" spans="1:7" ht="17.100000000000001" customHeight="1" x14ac:dyDescent="0.35">
      <c r="A38" s="85" t="s">
        <v>396</v>
      </c>
      <c r="B38" s="112"/>
      <c r="C38" s="112"/>
      <c r="D38" s="112"/>
      <c r="E38" s="112"/>
      <c r="F38" s="112"/>
    </row>
    <row r="39" spans="1:7" ht="17.100000000000001" customHeight="1" x14ac:dyDescent="0.2"/>
    <row r="40" spans="1:7" ht="17.100000000000001" customHeight="1" x14ac:dyDescent="0.35">
      <c r="A40" s="85" t="s">
        <v>114</v>
      </c>
      <c r="F40" s="112"/>
    </row>
    <row r="41" spans="1:7" ht="17.100000000000001" customHeight="1" x14ac:dyDescent="0.35">
      <c r="A41" s="85" t="s">
        <v>17</v>
      </c>
      <c r="F41" s="119">
        <v>0.41</v>
      </c>
      <c r="G41" s="81">
        <v>0.43</v>
      </c>
    </row>
    <row r="42" spans="1:7" ht="17.100000000000001" customHeight="1" x14ac:dyDescent="0.35">
      <c r="A42" s="85" t="s">
        <v>268</v>
      </c>
      <c r="F42" s="119"/>
    </row>
    <row r="43" spans="1:7" ht="17.100000000000001" customHeight="1" x14ac:dyDescent="0.35">
      <c r="A43" s="85" t="s">
        <v>430</v>
      </c>
      <c r="F43" s="119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1946-9D2B-4338-B3D6-D30CDB1E0796}">
  <dimension ref="A1"/>
  <sheetViews>
    <sheetView workbookViewId="0">
      <selection activeCell="G13" sqref="G13"/>
    </sheetView>
  </sheetViews>
  <sheetFormatPr defaultRowHeight="14.25" x14ac:dyDescent="0.2"/>
  <sheetData>
    <row r="1" spans="1:1" s="267" customFormat="1" x14ac:dyDescent="0.2">
      <c r="A1" s="266" t="s">
        <v>395</v>
      </c>
    </row>
  </sheetData>
  <mergeCells count="1">
    <mergeCell ref="A1:XF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36"/>
  <sheetViews>
    <sheetView workbookViewId="0">
      <selection activeCell="I27" sqref="I27"/>
    </sheetView>
  </sheetViews>
  <sheetFormatPr defaultRowHeight="14.25" x14ac:dyDescent="0.2"/>
  <cols>
    <col min="1" max="1" width="22.125" style="162" customWidth="1"/>
    <col min="2" max="2" width="10" style="157" customWidth="1"/>
    <col min="3" max="4" width="9.5" style="157" customWidth="1"/>
    <col min="5" max="5" width="9" style="35" customWidth="1"/>
    <col min="6" max="6" width="9" style="157" customWidth="1"/>
    <col min="7" max="7" width="7.125" style="35" customWidth="1"/>
    <col min="8" max="9" width="9" style="35"/>
    <col min="10" max="10" width="8.875" style="35" customWidth="1"/>
    <col min="11" max="11" width="7.25" style="35" customWidth="1"/>
    <col min="12" max="12" width="10.5" style="35" customWidth="1"/>
    <col min="13" max="13" width="7.25" style="35" customWidth="1"/>
    <col min="14" max="14" width="10.25" style="35" customWidth="1"/>
    <col min="15" max="16" width="9" style="35" customWidth="1"/>
    <col min="17" max="17" width="11.125" style="35" customWidth="1"/>
    <col min="18" max="18" width="8.375" style="35" customWidth="1"/>
    <col min="19" max="19" width="8.875" style="35" customWidth="1"/>
    <col min="20" max="20" width="9" style="35" customWidth="1"/>
    <col min="21" max="21" width="5" style="35" customWidth="1"/>
    <col min="22" max="22" width="8.5" style="35" customWidth="1"/>
    <col min="23" max="16384" width="9" style="35"/>
  </cols>
  <sheetData>
    <row r="1" spans="1:6" x14ac:dyDescent="0.2">
      <c r="A1" s="5" t="s">
        <v>232</v>
      </c>
      <c r="B1" s="157" t="s">
        <v>233</v>
      </c>
      <c r="E1" s="157"/>
    </row>
    <row r="2" spans="1:6" ht="21.75" customHeight="1" x14ac:dyDescent="0.2">
      <c r="A2" s="8" t="s">
        <v>22</v>
      </c>
      <c r="B2" s="162" t="s">
        <v>4</v>
      </c>
      <c r="C2" s="162" t="s">
        <v>3</v>
      </c>
      <c r="D2" s="162" t="s">
        <v>2</v>
      </c>
      <c r="E2" s="162" t="s">
        <v>1</v>
      </c>
      <c r="F2" s="217" t="s">
        <v>576</v>
      </c>
    </row>
    <row r="3" spans="1:6" x14ac:dyDescent="0.2">
      <c r="A3" s="9" t="s">
        <v>32</v>
      </c>
      <c r="B3" s="157">
        <v>101.83</v>
      </c>
      <c r="C3" s="157">
        <v>161.56</v>
      </c>
      <c r="D3" s="157">
        <v>196.49</v>
      </c>
      <c r="E3" s="157">
        <v>220.67</v>
      </c>
      <c r="F3" s="157">
        <v>226.5</v>
      </c>
    </row>
    <row r="4" spans="1:6" x14ac:dyDescent="0.2">
      <c r="A4" s="9" t="s">
        <v>578</v>
      </c>
      <c r="B4" s="157">
        <v>19.809999999999999</v>
      </c>
      <c r="C4" s="157">
        <v>74.28</v>
      </c>
      <c r="D4" s="157">
        <v>114.89</v>
      </c>
      <c r="E4" s="157">
        <v>181.52</v>
      </c>
      <c r="F4" s="157">
        <v>204.23</v>
      </c>
    </row>
    <row r="5" spans="1:6" x14ac:dyDescent="0.2">
      <c r="A5" s="5" t="s">
        <v>17</v>
      </c>
      <c r="B5" s="156">
        <f>C5+22%</f>
        <v>1.194</v>
      </c>
      <c r="C5" s="156">
        <v>0.97399999999999998</v>
      </c>
      <c r="D5" s="156">
        <v>0.89</v>
      </c>
      <c r="E5" s="161">
        <v>0.79</v>
      </c>
      <c r="F5" s="156">
        <v>0.58199999999999996</v>
      </c>
    </row>
    <row r="6" spans="1:6" s="157" customFormat="1" x14ac:dyDescent="0.2">
      <c r="A6" s="9" t="s">
        <v>584</v>
      </c>
      <c r="B6" s="157">
        <v>237.91</v>
      </c>
      <c r="C6" s="157">
        <v>265.33</v>
      </c>
      <c r="D6" s="157">
        <v>269.36</v>
      </c>
      <c r="E6" s="157">
        <v>267.88</v>
      </c>
      <c r="F6" s="157">
        <v>320.64</v>
      </c>
    </row>
    <row r="7" spans="1:6" x14ac:dyDescent="0.2">
      <c r="A7" s="5" t="s">
        <v>40</v>
      </c>
      <c r="E7" s="156">
        <f>1.6/15.66</f>
        <v>0.10217113665389528</v>
      </c>
    </row>
    <row r="8" spans="1:6" x14ac:dyDescent="0.2">
      <c r="A8" s="9"/>
      <c r="E8" s="157"/>
    </row>
    <row r="9" spans="1:6" x14ac:dyDescent="0.2">
      <c r="A9" s="5" t="s">
        <v>8</v>
      </c>
      <c r="B9" s="156">
        <v>0.188</v>
      </c>
      <c r="C9" s="156">
        <v>0.19900000000000001</v>
      </c>
      <c r="D9" s="156">
        <v>0.219</v>
      </c>
      <c r="E9" s="156">
        <f>E12/E3</f>
        <v>0.19603933475325147</v>
      </c>
      <c r="F9" s="156">
        <f>F12/F3</f>
        <v>9.514348785871965E-2</v>
      </c>
    </row>
    <row r="10" spans="1:6" x14ac:dyDescent="0.2">
      <c r="A10" s="9" t="s">
        <v>577</v>
      </c>
      <c r="B10" s="157">
        <v>177.17</v>
      </c>
      <c r="C10" s="157">
        <v>301.2</v>
      </c>
      <c r="D10" s="157">
        <v>411.39</v>
      </c>
      <c r="E10" s="157">
        <v>524.84</v>
      </c>
      <c r="F10" s="157">
        <v>330.39</v>
      </c>
    </row>
    <row r="11" spans="1:6" x14ac:dyDescent="0.2">
      <c r="A11" s="5" t="s">
        <v>5</v>
      </c>
      <c r="B11" s="156">
        <v>0.27600000000000002</v>
      </c>
      <c r="C11" s="156">
        <v>0.32700000000000001</v>
      </c>
      <c r="D11" s="156">
        <v>0.316</v>
      </c>
      <c r="E11" s="156">
        <v>0.222</v>
      </c>
      <c r="F11" s="156">
        <f>68.38/F10</f>
        <v>0.20696752323012196</v>
      </c>
    </row>
    <row r="12" spans="1:6" x14ac:dyDescent="0.2">
      <c r="A12" s="9" t="s">
        <v>24</v>
      </c>
      <c r="B12" s="157">
        <v>19.12</v>
      </c>
      <c r="C12" s="157">
        <v>32.090000000000003</v>
      </c>
      <c r="D12" s="157">
        <v>43.05</v>
      </c>
      <c r="E12" s="157">
        <v>43.26</v>
      </c>
      <c r="F12" s="157">
        <v>21.55</v>
      </c>
    </row>
    <row r="13" spans="1:6" s="156" customFormat="1" x14ac:dyDescent="0.2">
      <c r="A13" s="201" t="s">
        <v>587</v>
      </c>
      <c r="B13" s="156">
        <f t="shared" ref="B13:E13" si="0">B12/B10</f>
        <v>0.10791894790314388</v>
      </c>
      <c r="C13" s="156">
        <f t="shared" si="0"/>
        <v>0.10654050464807438</v>
      </c>
      <c r="D13" s="156">
        <f t="shared" si="0"/>
        <v>0.10464522715671261</v>
      </c>
      <c r="E13" s="156">
        <f t="shared" si="0"/>
        <v>8.2425120036582575E-2</v>
      </c>
      <c r="F13" s="156">
        <f>F12/F10</f>
        <v>6.5225945095190543E-2</v>
      </c>
    </row>
    <row r="14" spans="1:6" x14ac:dyDescent="0.2">
      <c r="A14" s="5"/>
      <c r="B14" s="35"/>
      <c r="C14" s="35"/>
      <c r="D14" s="35"/>
    </row>
    <row r="15" spans="1:6" x14ac:dyDescent="0.2">
      <c r="A15" s="5" t="s">
        <v>9</v>
      </c>
      <c r="B15" s="159">
        <f>C15/1.5582</f>
        <v>506.99525093056087</v>
      </c>
      <c r="C15" s="35">
        <v>790</v>
      </c>
      <c r="D15" s="35">
        <v>1012.3</v>
      </c>
      <c r="E15" s="35">
        <v>1261.5999999999999</v>
      </c>
      <c r="F15" s="157">
        <v>825.9</v>
      </c>
    </row>
    <row r="16" spans="1:6" x14ac:dyDescent="0.2">
      <c r="A16" s="5" t="s">
        <v>10</v>
      </c>
      <c r="B16" s="159">
        <f>C16/1.3189</f>
        <v>599.51474713776634</v>
      </c>
      <c r="C16" s="35">
        <v>790.7</v>
      </c>
      <c r="D16" s="35">
        <v>1002.3</v>
      </c>
      <c r="E16" s="35">
        <v>1111.4000000000001</v>
      </c>
      <c r="F16" s="157">
        <v>686.6</v>
      </c>
    </row>
    <row r="17" spans="1:169" x14ac:dyDescent="0.2">
      <c r="A17" s="5" t="s">
        <v>20</v>
      </c>
      <c r="B17" s="199">
        <v>7080</v>
      </c>
      <c r="C17" s="35">
        <v>8139</v>
      </c>
      <c r="D17" s="35">
        <v>10100</v>
      </c>
      <c r="E17" s="35">
        <v>11351</v>
      </c>
      <c r="F17" s="200">
        <f>F15/F16*10000</f>
        <v>12028.837751237985</v>
      </c>
    </row>
    <row r="18" spans="1:169" x14ac:dyDescent="0.2">
      <c r="A18" s="5" t="s">
        <v>579</v>
      </c>
      <c r="B18" s="199">
        <v>363.63</v>
      </c>
      <c r="C18" s="35">
        <v>559.29999999999995</v>
      </c>
      <c r="D18" s="35">
        <v>848.92</v>
      </c>
      <c r="E18" s="35">
        <v>1040.3800000000001</v>
      </c>
      <c r="F18" s="157">
        <v>1095.98</v>
      </c>
    </row>
    <row r="19" spans="1:169" x14ac:dyDescent="0.2">
      <c r="A19" s="5"/>
      <c r="B19" s="199"/>
      <c r="C19" s="35"/>
      <c r="D19" s="35"/>
    </row>
    <row r="20" spans="1:169" x14ac:dyDescent="0.2">
      <c r="A20" s="5" t="s">
        <v>11</v>
      </c>
      <c r="B20" s="35"/>
      <c r="C20" s="35">
        <v>1662</v>
      </c>
      <c r="D20" s="35">
        <v>1453</v>
      </c>
      <c r="E20" s="35">
        <v>944</v>
      </c>
      <c r="F20" s="200">
        <v>318</v>
      </c>
    </row>
    <row r="21" spans="1:169" x14ac:dyDescent="0.2">
      <c r="A21" s="5" t="s">
        <v>12</v>
      </c>
      <c r="B21" s="35"/>
      <c r="C21" s="35">
        <v>57</v>
      </c>
      <c r="D21" s="35"/>
    </row>
    <row r="22" spans="1:169" x14ac:dyDescent="0.2">
      <c r="A22" s="5" t="s">
        <v>13</v>
      </c>
      <c r="B22" s="35"/>
      <c r="C22" s="35">
        <v>4507</v>
      </c>
      <c r="D22" s="35">
        <v>5263</v>
      </c>
      <c r="E22" s="35">
        <v>5398</v>
      </c>
      <c r="F22" s="200">
        <v>5277</v>
      </c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</row>
    <row r="23" spans="1:169" x14ac:dyDescent="0.2">
      <c r="A23" s="5" t="s">
        <v>18</v>
      </c>
      <c r="B23" s="35"/>
      <c r="C23" s="35">
        <v>2337</v>
      </c>
      <c r="D23" s="35"/>
    </row>
    <row r="24" spans="1:169" x14ac:dyDescent="0.2">
      <c r="A24" s="5" t="s">
        <v>19</v>
      </c>
      <c r="B24" s="35"/>
      <c r="C24" s="35" t="s">
        <v>586</v>
      </c>
      <c r="D24" s="35" t="s">
        <v>585</v>
      </c>
      <c r="E24" s="35" t="s">
        <v>21</v>
      </c>
      <c r="F24" s="157" t="s">
        <v>580</v>
      </c>
    </row>
    <row r="25" spans="1:169" x14ac:dyDescent="0.2">
      <c r="A25" s="5" t="s">
        <v>14</v>
      </c>
      <c r="B25" s="35"/>
      <c r="C25" s="35">
        <v>173</v>
      </c>
      <c r="D25" s="35">
        <v>278</v>
      </c>
      <c r="E25" s="35">
        <v>321</v>
      </c>
      <c r="F25" s="200">
        <v>339</v>
      </c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/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200"/>
      <c r="AU25" s="200"/>
      <c r="AV25" s="200"/>
      <c r="AW25" s="200"/>
      <c r="AX25" s="200"/>
      <c r="AY25" s="200"/>
      <c r="AZ25" s="200"/>
      <c r="BA25" s="200"/>
      <c r="BB25" s="200"/>
      <c r="BC25" s="200"/>
      <c r="BD25" s="200"/>
      <c r="BE25" s="200"/>
      <c r="BF25" s="200"/>
      <c r="BG25" s="200"/>
      <c r="BH25" s="200"/>
      <c r="BI25" s="200"/>
      <c r="BJ25" s="200"/>
      <c r="BK25" s="200"/>
      <c r="BL25" s="200"/>
      <c r="BM25" s="200"/>
      <c r="BN25" s="200"/>
      <c r="BO25" s="200"/>
      <c r="BP25" s="200"/>
      <c r="BQ25" s="200"/>
      <c r="BR25" s="200"/>
      <c r="BS25" s="200"/>
      <c r="BT25" s="200"/>
      <c r="BU25" s="200"/>
      <c r="BV25" s="200"/>
      <c r="BW25" s="200"/>
      <c r="BX25" s="200"/>
      <c r="BY25" s="200"/>
      <c r="BZ25" s="200"/>
      <c r="CA25" s="200"/>
      <c r="CB25" s="200"/>
      <c r="CC25" s="200"/>
      <c r="CD25" s="200"/>
      <c r="CE25" s="200"/>
      <c r="CF25" s="200"/>
      <c r="CG25" s="200"/>
      <c r="CH25" s="200"/>
      <c r="CI25" s="200"/>
      <c r="CJ25" s="200"/>
      <c r="CK25" s="200"/>
      <c r="CL25" s="200"/>
      <c r="CM25" s="200"/>
      <c r="CN25" s="200"/>
      <c r="CO25" s="200"/>
      <c r="CP25" s="200"/>
      <c r="CQ25" s="200"/>
      <c r="CR25" s="200"/>
      <c r="CS25" s="200"/>
      <c r="CT25" s="200"/>
      <c r="CU25" s="200"/>
      <c r="CV25" s="200"/>
      <c r="CW25" s="200"/>
      <c r="CX25" s="200"/>
      <c r="CY25" s="200"/>
      <c r="CZ25" s="200"/>
      <c r="DA25" s="200"/>
      <c r="DB25" s="200"/>
      <c r="DC25" s="200"/>
      <c r="DD25" s="200"/>
      <c r="DE25" s="200"/>
      <c r="DF25" s="200"/>
      <c r="DG25" s="200"/>
      <c r="DH25" s="200"/>
      <c r="DI25" s="200"/>
      <c r="DJ25" s="200"/>
      <c r="DK25" s="200"/>
      <c r="DL25" s="200"/>
      <c r="DM25" s="200"/>
      <c r="DN25" s="200"/>
      <c r="DO25" s="200"/>
      <c r="DP25" s="200"/>
      <c r="DQ25" s="200"/>
      <c r="DR25" s="200"/>
      <c r="DS25" s="200"/>
      <c r="DT25" s="200"/>
      <c r="DU25" s="200"/>
      <c r="DV25" s="200"/>
      <c r="DW25" s="200"/>
      <c r="DX25" s="200"/>
      <c r="DY25" s="200"/>
      <c r="DZ25" s="200"/>
      <c r="EA25" s="200"/>
      <c r="EB25" s="200"/>
      <c r="EC25" s="200"/>
      <c r="ED25" s="200"/>
      <c r="EE25" s="200"/>
      <c r="EF25" s="200"/>
      <c r="EG25" s="200"/>
      <c r="EH25" s="200"/>
      <c r="EI25" s="200"/>
      <c r="EJ25" s="200"/>
      <c r="EK25" s="200"/>
      <c r="EL25" s="200"/>
      <c r="EM25" s="200"/>
      <c r="EN25" s="200"/>
      <c r="EO25" s="200"/>
      <c r="EP25" s="200"/>
      <c r="EQ25" s="200"/>
      <c r="ER25" s="200"/>
      <c r="ES25" s="200"/>
      <c r="ET25" s="200"/>
      <c r="EU25" s="200"/>
      <c r="EV25" s="200"/>
      <c r="EW25" s="200"/>
      <c r="EX25" s="200"/>
      <c r="EY25" s="200"/>
      <c r="EZ25" s="200"/>
      <c r="FA25" s="200"/>
      <c r="FB25" s="200"/>
      <c r="FC25" s="200"/>
      <c r="FD25" s="200"/>
      <c r="FE25" s="200"/>
      <c r="FF25" s="200"/>
      <c r="FG25" s="200"/>
      <c r="FH25" s="200"/>
      <c r="FI25" s="200"/>
      <c r="FJ25" s="200"/>
      <c r="FK25" s="200"/>
      <c r="FL25" s="200"/>
      <c r="FM25" s="200"/>
    </row>
    <row r="26" spans="1:169" x14ac:dyDescent="0.2">
      <c r="A26" s="5" t="s">
        <v>15</v>
      </c>
      <c r="B26" s="35"/>
      <c r="C26" s="35">
        <v>32</v>
      </c>
      <c r="D26" s="35">
        <v>61</v>
      </c>
      <c r="E26" s="35">
        <v>89</v>
      </c>
      <c r="F26" s="200">
        <v>103</v>
      </c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0"/>
      <c r="AT26" s="200"/>
      <c r="AU26" s="200"/>
      <c r="AV26" s="200"/>
      <c r="AW26" s="200"/>
      <c r="AX26" s="200"/>
      <c r="AY26" s="200"/>
      <c r="AZ26" s="200"/>
      <c r="BA26" s="200"/>
      <c r="BB26" s="200"/>
      <c r="BC26" s="200"/>
      <c r="BD26" s="200"/>
      <c r="BE26" s="200"/>
      <c r="BF26" s="200"/>
      <c r="BG26" s="200"/>
      <c r="BH26" s="200"/>
      <c r="BI26" s="200"/>
      <c r="BJ26" s="200"/>
      <c r="BK26" s="200"/>
      <c r="BL26" s="200"/>
      <c r="BM26" s="200"/>
      <c r="BN26" s="200"/>
      <c r="BO26" s="200"/>
      <c r="BP26" s="200"/>
      <c r="BQ26" s="200"/>
      <c r="BR26" s="200"/>
      <c r="BS26" s="200"/>
      <c r="BT26" s="200"/>
      <c r="BU26" s="200"/>
      <c r="BV26" s="200"/>
      <c r="BW26" s="200"/>
      <c r="BX26" s="200"/>
      <c r="BY26" s="200"/>
      <c r="BZ26" s="200"/>
      <c r="CA26" s="200"/>
      <c r="CB26" s="200"/>
      <c r="CC26" s="200"/>
      <c r="CD26" s="200"/>
      <c r="CE26" s="200"/>
      <c r="CF26" s="200"/>
      <c r="CG26" s="200"/>
      <c r="CH26" s="200"/>
      <c r="CI26" s="200"/>
      <c r="CJ26" s="200"/>
      <c r="CK26" s="200"/>
      <c r="CL26" s="200"/>
      <c r="CM26" s="200"/>
      <c r="CN26" s="200"/>
      <c r="CO26" s="200"/>
      <c r="CP26" s="200"/>
      <c r="CQ26" s="200"/>
      <c r="CR26" s="200"/>
      <c r="CS26" s="200"/>
      <c r="CT26" s="200"/>
      <c r="CU26" s="200"/>
      <c r="CV26" s="200"/>
      <c r="CW26" s="200"/>
      <c r="CX26" s="200"/>
      <c r="CY26" s="200"/>
      <c r="CZ26" s="200"/>
      <c r="DA26" s="200"/>
      <c r="DB26" s="200"/>
      <c r="DC26" s="200"/>
      <c r="DD26" s="200"/>
      <c r="DE26" s="200"/>
      <c r="DF26" s="200"/>
      <c r="DG26" s="200"/>
      <c r="DH26" s="200"/>
      <c r="DI26" s="200"/>
      <c r="DJ26" s="200"/>
      <c r="DK26" s="200"/>
      <c r="DL26" s="200"/>
      <c r="DM26" s="200"/>
      <c r="DN26" s="200"/>
      <c r="DO26" s="200"/>
      <c r="DP26" s="200"/>
      <c r="DQ26" s="200"/>
      <c r="DR26" s="200"/>
      <c r="DS26" s="200"/>
      <c r="DT26" s="200"/>
      <c r="DU26" s="200"/>
      <c r="DV26" s="200"/>
      <c r="DW26" s="200"/>
      <c r="DX26" s="200"/>
      <c r="DY26" s="200"/>
      <c r="DZ26" s="200"/>
      <c r="EA26" s="200"/>
      <c r="EB26" s="200"/>
      <c r="EC26" s="200"/>
      <c r="ED26" s="200"/>
      <c r="EE26" s="200"/>
      <c r="EF26" s="200"/>
      <c r="EG26" s="200"/>
      <c r="EH26" s="200"/>
      <c r="EI26" s="200"/>
      <c r="EJ26" s="200"/>
      <c r="EK26" s="200"/>
      <c r="EL26" s="200"/>
      <c r="EM26" s="200"/>
      <c r="EN26" s="200"/>
      <c r="EO26" s="200"/>
      <c r="EP26" s="200"/>
      <c r="EQ26" s="200"/>
      <c r="ER26" s="200"/>
      <c r="ES26" s="200"/>
      <c r="ET26" s="200"/>
      <c r="EU26" s="200"/>
      <c r="EV26" s="200"/>
      <c r="EW26" s="200"/>
      <c r="EX26" s="200"/>
      <c r="EY26" s="200"/>
      <c r="EZ26" s="200"/>
      <c r="FA26" s="200"/>
      <c r="FB26" s="200"/>
      <c r="FC26" s="200"/>
      <c r="FD26" s="200"/>
      <c r="FE26" s="200"/>
      <c r="FF26" s="200"/>
      <c r="FG26" s="200"/>
      <c r="FH26" s="200"/>
      <c r="FI26" s="200"/>
      <c r="FJ26" s="200"/>
      <c r="FK26" s="200"/>
      <c r="FL26" s="200"/>
      <c r="FM26" s="200"/>
    </row>
    <row r="27" spans="1:169" x14ac:dyDescent="0.2">
      <c r="A27" s="5"/>
      <c r="B27" s="35"/>
      <c r="C27" s="35"/>
      <c r="D27" s="35"/>
    </row>
    <row r="28" spans="1:169" x14ac:dyDescent="0.2">
      <c r="A28" s="5" t="s">
        <v>583</v>
      </c>
      <c r="B28" s="35">
        <f t="shared" ref="B28:D28" si="1">B29+B30</f>
        <v>382.53999999999996</v>
      </c>
      <c r="C28" s="35">
        <f t="shared" si="1"/>
        <v>495.09</v>
      </c>
      <c r="D28" s="35">
        <f t="shared" si="1"/>
        <v>546.52</v>
      </c>
      <c r="E28" s="35">
        <f>E29+E30</f>
        <v>586.4</v>
      </c>
      <c r="F28" s="157">
        <v>571.21</v>
      </c>
    </row>
    <row r="29" spans="1:169" x14ac:dyDescent="0.2">
      <c r="A29" s="5" t="s">
        <v>7</v>
      </c>
      <c r="B29" s="35">
        <v>291.83999999999997</v>
      </c>
      <c r="C29" s="35">
        <v>329.08</v>
      </c>
      <c r="D29" s="35">
        <v>455.16</v>
      </c>
      <c r="E29" s="35">
        <v>463.85</v>
      </c>
    </row>
    <row r="30" spans="1:169" x14ac:dyDescent="0.2">
      <c r="A30" s="5" t="s">
        <v>6</v>
      </c>
      <c r="B30" s="35">
        <v>90.7</v>
      </c>
      <c r="C30" s="35">
        <v>166.01</v>
      </c>
      <c r="D30" s="35">
        <v>91.36</v>
      </c>
      <c r="E30" s="35">
        <v>122.55</v>
      </c>
    </row>
    <row r="31" spans="1:169" x14ac:dyDescent="0.2">
      <c r="A31" s="5" t="s">
        <v>38</v>
      </c>
      <c r="B31" s="35">
        <v>16.87</v>
      </c>
      <c r="C31" s="35">
        <v>26.76</v>
      </c>
      <c r="D31" s="35">
        <v>35.43</v>
      </c>
      <c r="E31" s="35">
        <v>31.11</v>
      </c>
      <c r="F31" s="157">
        <v>14.45</v>
      </c>
    </row>
    <row r="32" spans="1:169" x14ac:dyDescent="0.2">
      <c r="A32" s="5" t="s">
        <v>39</v>
      </c>
      <c r="B32" s="35">
        <v>14.24</v>
      </c>
      <c r="C32" s="35">
        <v>26.76</v>
      </c>
      <c r="D32" s="35">
        <v>35.43</v>
      </c>
      <c r="E32" s="35">
        <v>31.11</v>
      </c>
    </row>
    <row r="33" spans="1:10" x14ac:dyDescent="0.2">
      <c r="A33" s="5" t="s">
        <v>16</v>
      </c>
      <c r="B33" s="35"/>
      <c r="C33" s="156">
        <v>5.91E-2</v>
      </c>
      <c r="D33" s="156">
        <v>5.8700000000000002E-2</v>
      </c>
      <c r="E33" s="156">
        <v>5.33E-2</v>
      </c>
      <c r="F33" s="156">
        <v>4.9200000000000001E-2</v>
      </c>
      <c r="G33" s="156"/>
      <c r="H33" s="156"/>
      <c r="I33" s="156"/>
      <c r="J33" s="156"/>
    </row>
    <row r="35" spans="1:10" x14ac:dyDescent="0.2">
      <c r="A35" s="35" t="s">
        <v>581</v>
      </c>
      <c r="B35" s="35">
        <v>8.08</v>
      </c>
      <c r="C35" s="35">
        <v>15.34</v>
      </c>
      <c r="D35" s="35">
        <v>25.41</v>
      </c>
      <c r="E35" s="35">
        <v>21.94</v>
      </c>
      <c r="F35" s="35">
        <v>13.9</v>
      </c>
    </row>
    <row r="36" spans="1:10" x14ac:dyDescent="0.2">
      <c r="A36" s="162" t="s">
        <v>582</v>
      </c>
      <c r="B36" s="157">
        <v>8.0500000000000007</v>
      </c>
      <c r="C36" s="157">
        <v>22.85</v>
      </c>
      <c r="D36" s="157">
        <v>36.950000000000003</v>
      </c>
      <c r="E36" s="35">
        <v>35.61</v>
      </c>
      <c r="F36" s="157">
        <v>16.5</v>
      </c>
    </row>
  </sheetData>
  <phoneticPr fontId="1" type="noConversion"/>
  <conditionalFormatting sqref="A16:XFD16">
    <cfRule type="colorScale" priority="2">
      <colorScale>
        <cfvo type="min"/>
        <cfvo type="max"/>
        <color rgb="FFFFEF9C"/>
        <color rgb="FF63BE7B"/>
      </colorScale>
    </cfRule>
  </conditionalFormatting>
  <conditionalFormatting sqref="A20:XFD20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AD9E-4346-4D86-88AB-8FDF35F45CC7}">
  <dimension ref="A1:T48"/>
  <sheetViews>
    <sheetView workbookViewId="0">
      <pane ySplit="1" topLeftCell="A2" activePane="bottomLeft" state="frozen"/>
      <selection pane="bottomLeft" activeCell="H35" sqref="H35"/>
    </sheetView>
  </sheetViews>
  <sheetFormatPr defaultRowHeight="14.25" x14ac:dyDescent="0.2"/>
  <cols>
    <col min="1" max="1" width="24.125" style="30" customWidth="1"/>
    <col min="2" max="2" width="8.375" style="24" customWidth="1"/>
    <col min="3" max="3" width="9.125" style="24" customWidth="1"/>
    <col min="4" max="4" width="9" style="26" customWidth="1"/>
    <col min="5" max="5" width="8.125" style="24" customWidth="1"/>
    <col min="6" max="6" width="8.375" style="24" customWidth="1"/>
    <col min="7" max="7" width="7.75" style="24" customWidth="1"/>
    <col min="8" max="9" width="9" style="24"/>
    <col min="10" max="10" width="6" style="24" customWidth="1"/>
    <col min="11" max="11" width="6.75" style="24" customWidth="1"/>
    <col min="12" max="12" width="6.5" style="24" hidden="1" customWidth="1"/>
    <col min="13" max="13" width="8.5" style="24" hidden="1" customWidth="1"/>
    <col min="14" max="14" width="11.875" style="24" customWidth="1"/>
    <col min="15" max="15" width="8.625" style="24" customWidth="1"/>
    <col min="16" max="16" width="7.5" style="24" customWidth="1"/>
    <col min="17" max="17" width="9" style="24" customWidth="1"/>
    <col min="18" max="18" width="6.75" style="24" customWidth="1"/>
    <col min="19" max="19" width="9" style="24" customWidth="1"/>
    <col min="20" max="20" width="9" style="24" hidden="1" customWidth="1"/>
    <col min="21" max="21" width="7.375" style="24" customWidth="1"/>
    <col min="22" max="22" width="8.5" style="24" customWidth="1"/>
    <col min="23" max="24" width="8.375" style="24" customWidth="1"/>
    <col min="25" max="25" width="6.75" style="24" customWidth="1"/>
    <col min="26" max="26" width="7.125" style="24" customWidth="1"/>
    <col min="27" max="27" width="6.5" style="24" customWidth="1"/>
    <col min="28" max="28" width="5" style="24" customWidth="1"/>
    <col min="29" max="29" width="6.375" style="24" customWidth="1"/>
    <col min="30" max="16384" width="9" style="24"/>
  </cols>
  <sheetData>
    <row r="1" spans="1:6" s="21" customFormat="1" x14ac:dyDescent="0.2">
      <c r="A1" s="20" t="s">
        <v>23</v>
      </c>
      <c r="B1" s="21" t="s">
        <v>4</v>
      </c>
      <c r="C1" s="21" t="s">
        <v>3</v>
      </c>
      <c r="D1" s="21" t="s">
        <v>2</v>
      </c>
      <c r="E1" s="21" t="s">
        <v>1</v>
      </c>
      <c r="F1" s="21" t="s">
        <v>537</v>
      </c>
    </row>
    <row r="2" spans="1:6" x14ac:dyDescent="0.2">
      <c r="A2" s="22" t="s">
        <v>550</v>
      </c>
      <c r="B2" s="23"/>
      <c r="C2" s="23">
        <v>0.21299999999999999</v>
      </c>
      <c r="D2" s="23">
        <v>0.248</v>
      </c>
      <c r="E2" s="23">
        <v>0.23499999999999999</v>
      </c>
      <c r="F2" s="23">
        <v>0.215</v>
      </c>
    </row>
    <row r="3" spans="1:6" x14ac:dyDescent="0.2">
      <c r="A3" s="22" t="s">
        <v>551</v>
      </c>
      <c r="B3" s="23">
        <f t="shared" ref="B3:E3" si="0">B6/B4</f>
        <v>5.2288518014468877E-2</v>
      </c>
      <c r="C3" s="23">
        <f t="shared" si="0"/>
        <v>1.6656425926233457E-2</v>
      </c>
      <c r="D3" s="23">
        <f t="shared" si="0"/>
        <v>4.0264315750166417E-2</v>
      </c>
      <c r="E3" s="23">
        <f t="shared" si="0"/>
        <v>5.7705755373810459E-2</v>
      </c>
      <c r="F3" s="23">
        <f>F6/F4</f>
        <v>6.6915732669157318E-2</v>
      </c>
    </row>
    <row r="4" spans="1:6" s="26" customFormat="1" x14ac:dyDescent="0.2">
      <c r="A4" s="25" t="s">
        <v>538</v>
      </c>
      <c r="B4" s="26">
        <v>418.83</v>
      </c>
      <c r="C4" s="26">
        <v>602.16999999999996</v>
      </c>
      <c r="D4" s="26">
        <v>615.92999999999995</v>
      </c>
      <c r="E4" s="26">
        <v>657.82</v>
      </c>
      <c r="F4" s="26">
        <v>361.35</v>
      </c>
    </row>
    <row r="5" spans="1:6" x14ac:dyDescent="0.2">
      <c r="A5" s="25" t="s">
        <v>32</v>
      </c>
      <c r="B5" s="26"/>
      <c r="C5" s="26">
        <v>275.74</v>
      </c>
      <c r="D5" s="26">
        <v>276.45</v>
      </c>
      <c r="E5" s="26">
        <v>322.23</v>
      </c>
      <c r="F5" s="24">
        <v>334.44</v>
      </c>
    </row>
    <row r="6" spans="1:6" x14ac:dyDescent="0.2">
      <c r="A6" s="22" t="s">
        <v>24</v>
      </c>
      <c r="B6" s="24">
        <v>21.9</v>
      </c>
      <c r="C6" s="24">
        <v>10.029999999999999</v>
      </c>
      <c r="D6" s="24">
        <v>24.8</v>
      </c>
      <c r="E6" s="24">
        <v>37.96</v>
      </c>
      <c r="F6" s="24">
        <v>24.18</v>
      </c>
    </row>
    <row r="7" spans="1:6" x14ac:dyDescent="0.2">
      <c r="A7" s="22" t="s">
        <v>540</v>
      </c>
      <c r="C7" s="24">
        <v>482.19</v>
      </c>
      <c r="D7" s="24">
        <v>518.94000000000005</v>
      </c>
      <c r="E7" s="24">
        <v>652.03</v>
      </c>
      <c r="F7" s="24">
        <v>605.6</v>
      </c>
    </row>
    <row r="8" spans="1:6" x14ac:dyDescent="0.2">
      <c r="A8" s="22" t="s">
        <v>543</v>
      </c>
      <c r="C8" s="24">
        <v>662.67</v>
      </c>
      <c r="D8" s="24">
        <v>763.25</v>
      </c>
      <c r="E8" s="24">
        <v>1127.99</v>
      </c>
      <c r="F8" s="24">
        <v>1419.42</v>
      </c>
    </row>
    <row r="9" spans="1:6" hidden="1" x14ac:dyDescent="0.2">
      <c r="A9" s="22" t="s">
        <v>41</v>
      </c>
      <c r="D9" s="24"/>
      <c r="E9" s="24">
        <v>0.35</v>
      </c>
    </row>
    <row r="10" spans="1:6" hidden="1" x14ac:dyDescent="0.2">
      <c r="A10" s="22" t="s">
        <v>40</v>
      </c>
      <c r="D10" s="24"/>
      <c r="E10" s="23">
        <f>0.35/9.67</f>
        <v>3.6194415718717683E-2</v>
      </c>
    </row>
    <row r="11" spans="1:6" x14ac:dyDescent="0.2">
      <c r="A11" s="22"/>
      <c r="D11" s="24"/>
      <c r="E11" s="23"/>
    </row>
    <row r="12" spans="1:6" x14ac:dyDescent="0.2">
      <c r="A12" s="22" t="s">
        <v>31</v>
      </c>
      <c r="C12" s="24">
        <v>814.58</v>
      </c>
      <c r="D12" s="24">
        <v>955.77</v>
      </c>
      <c r="E12" s="24">
        <v>1192.02</v>
      </c>
      <c r="F12" s="24">
        <v>1279.18</v>
      </c>
    </row>
    <row r="13" spans="1:6" x14ac:dyDescent="0.2">
      <c r="A13" s="22" t="s">
        <v>16</v>
      </c>
      <c r="B13" s="23">
        <v>5.3999999999999999E-2</v>
      </c>
      <c r="C13" s="23">
        <v>5.3999999999999999E-2</v>
      </c>
      <c r="D13" s="23">
        <v>5.2999999999999999E-2</v>
      </c>
      <c r="E13" s="23">
        <v>4.9000000000000002E-2</v>
      </c>
      <c r="F13" s="23">
        <v>4.5999999999999999E-2</v>
      </c>
    </row>
    <row r="14" spans="1:6" x14ac:dyDescent="0.2">
      <c r="A14" s="22" t="s">
        <v>6</v>
      </c>
      <c r="C14" s="24">
        <v>174.8</v>
      </c>
      <c r="D14" s="27">
        <f>D12*0.366</f>
        <v>349.81182000000001</v>
      </c>
      <c r="E14" s="24">
        <v>325.14999999999998</v>
      </c>
      <c r="F14" s="24">
        <v>301.10000000000002</v>
      </c>
    </row>
    <row r="15" spans="1:6" x14ac:dyDescent="0.2">
      <c r="A15" s="22" t="s">
        <v>7</v>
      </c>
      <c r="C15" s="27">
        <f>C12-C14</f>
        <v>639.78</v>
      </c>
      <c r="D15" s="27">
        <f>D12-D14</f>
        <v>605.95817999999997</v>
      </c>
      <c r="E15" s="27">
        <f>E12-E14</f>
        <v>866.87</v>
      </c>
      <c r="F15" s="27">
        <f>F12-F14</f>
        <v>978.08</v>
      </c>
    </row>
    <row r="16" spans="1:6" x14ac:dyDescent="0.2">
      <c r="A16" s="22" t="s">
        <v>38</v>
      </c>
      <c r="B16" s="24">
        <v>37.17</v>
      </c>
      <c r="C16" s="24">
        <v>54.16</v>
      </c>
      <c r="D16" s="27">
        <v>60.09</v>
      </c>
      <c r="E16" s="27">
        <v>77.98</v>
      </c>
      <c r="F16" s="24">
        <v>39.78</v>
      </c>
    </row>
    <row r="17" spans="1:6" x14ac:dyDescent="0.2">
      <c r="A17" s="22" t="s">
        <v>39</v>
      </c>
      <c r="B17" s="24">
        <v>22.41</v>
      </c>
      <c r="C17" s="24">
        <v>38.64</v>
      </c>
      <c r="D17" s="27">
        <v>44.38</v>
      </c>
      <c r="E17" s="27">
        <v>55.69</v>
      </c>
    </row>
    <row r="18" spans="1:6" x14ac:dyDescent="0.2">
      <c r="A18" s="22"/>
      <c r="D18" s="27"/>
      <c r="E18" s="27"/>
    </row>
    <row r="19" spans="1:6" x14ac:dyDescent="0.2">
      <c r="A19" s="22" t="s">
        <v>9</v>
      </c>
      <c r="B19" s="27"/>
      <c r="C19" s="24">
        <v>1564</v>
      </c>
      <c r="D19" s="24">
        <v>2018</v>
      </c>
      <c r="E19" s="24">
        <v>2892</v>
      </c>
      <c r="F19" s="24">
        <v>1717</v>
      </c>
    </row>
    <row r="20" spans="1:6" x14ac:dyDescent="0.2">
      <c r="A20" s="22" t="s">
        <v>10</v>
      </c>
      <c r="B20" s="27"/>
      <c r="C20" s="24">
        <v>812</v>
      </c>
      <c r="D20" s="24">
        <v>1027</v>
      </c>
      <c r="E20" s="24">
        <v>1385</v>
      </c>
      <c r="F20" s="24">
        <v>724</v>
      </c>
    </row>
    <row r="21" spans="1:6" x14ac:dyDescent="0.2">
      <c r="A21" s="22" t="s">
        <v>231</v>
      </c>
      <c r="B21" s="27"/>
      <c r="C21" s="24">
        <v>398</v>
      </c>
      <c r="D21" s="24">
        <v>522</v>
      </c>
      <c r="E21" s="24">
        <v>825</v>
      </c>
      <c r="F21" s="24">
        <v>485</v>
      </c>
    </row>
    <row r="22" spans="1:6" x14ac:dyDescent="0.2">
      <c r="A22" s="22" t="s">
        <v>35</v>
      </c>
      <c r="B22" s="27"/>
      <c r="C22" s="24">
        <v>1012</v>
      </c>
      <c r="D22" s="24">
        <v>1354</v>
      </c>
      <c r="E22" s="24">
        <v>2147</v>
      </c>
      <c r="F22" s="24">
        <v>1369</v>
      </c>
    </row>
    <row r="23" spans="1:6" x14ac:dyDescent="0.2">
      <c r="A23" s="22" t="s">
        <v>37</v>
      </c>
      <c r="B23" s="27"/>
      <c r="C23" s="24">
        <v>557</v>
      </c>
      <c r="D23" s="24">
        <v>768</v>
      </c>
      <c r="E23" s="24">
        <v>1194</v>
      </c>
      <c r="F23" s="24">
        <v>713</v>
      </c>
    </row>
    <row r="24" spans="1:6" x14ac:dyDescent="0.2">
      <c r="A24" s="22" t="s">
        <v>36</v>
      </c>
      <c r="B24" s="28">
        <v>23235</v>
      </c>
      <c r="C24" s="24">
        <v>25455</v>
      </c>
      <c r="D24" s="24">
        <v>25936</v>
      </c>
      <c r="E24" s="24">
        <v>26012</v>
      </c>
      <c r="F24" s="24">
        <v>28226</v>
      </c>
    </row>
    <row r="25" spans="1:6" x14ac:dyDescent="0.2">
      <c r="A25" s="22" t="s">
        <v>549</v>
      </c>
      <c r="B25" s="28"/>
      <c r="C25" s="29">
        <v>0.68</v>
      </c>
      <c r="D25" s="29">
        <v>0.68</v>
      </c>
      <c r="E25" s="29">
        <v>0.71</v>
      </c>
    </row>
    <row r="26" spans="1:6" x14ac:dyDescent="0.2">
      <c r="A26" s="22"/>
      <c r="B26" s="28"/>
      <c r="C26" s="29"/>
      <c r="D26" s="29"/>
      <c r="E26" s="29"/>
    </row>
    <row r="27" spans="1:6" x14ac:dyDescent="0.2">
      <c r="A27" s="22" t="s">
        <v>26</v>
      </c>
      <c r="C27" s="24">
        <v>37</v>
      </c>
      <c r="D27" s="24">
        <v>54</v>
      </c>
      <c r="E27" s="24">
        <v>85</v>
      </c>
      <c r="F27" s="24">
        <v>67</v>
      </c>
    </row>
    <row r="28" spans="1:6" x14ac:dyDescent="0.2">
      <c r="A28" s="22" t="s">
        <v>11</v>
      </c>
      <c r="C28" s="24">
        <v>719</v>
      </c>
      <c r="D28" s="24">
        <v>1236</v>
      </c>
      <c r="E28" s="24">
        <v>2041</v>
      </c>
      <c r="F28" s="24">
        <v>1186</v>
      </c>
    </row>
    <row r="29" spans="1:6" x14ac:dyDescent="0.2">
      <c r="A29" s="22" t="s">
        <v>539</v>
      </c>
      <c r="C29" s="24">
        <v>1276</v>
      </c>
      <c r="D29" s="24">
        <v>2057</v>
      </c>
      <c r="E29" s="24">
        <v>3288</v>
      </c>
      <c r="F29" s="24">
        <v>2140</v>
      </c>
    </row>
    <row r="30" spans="1:6" x14ac:dyDescent="0.2">
      <c r="A30" s="22" t="s">
        <v>544</v>
      </c>
      <c r="C30" s="24">
        <v>751</v>
      </c>
      <c r="D30" s="24">
        <v>1086</v>
      </c>
      <c r="E30" s="24">
        <v>1885</v>
      </c>
      <c r="F30" s="24">
        <v>1450</v>
      </c>
    </row>
    <row r="31" spans="1:6" x14ac:dyDescent="0.2">
      <c r="A31" s="22" t="s">
        <v>545</v>
      </c>
      <c r="C31" s="24">
        <v>339</v>
      </c>
      <c r="D31" s="24">
        <v>523</v>
      </c>
      <c r="E31" s="24">
        <v>842</v>
      </c>
      <c r="F31" s="24">
        <v>740</v>
      </c>
    </row>
    <row r="32" spans="1:6" x14ac:dyDescent="0.2">
      <c r="A32" s="22" t="s">
        <v>25</v>
      </c>
      <c r="C32" s="24">
        <v>11398</v>
      </c>
      <c r="D32" s="28">
        <v>6923</v>
      </c>
      <c r="E32" s="24">
        <v>7089</v>
      </c>
      <c r="F32" s="24">
        <v>9126</v>
      </c>
    </row>
    <row r="33" spans="1:6" x14ac:dyDescent="0.2">
      <c r="A33" s="22"/>
      <c r="D33" s="28"/>
    </row>
    <row r="34" spans="1:6" x14ac:dyDescent="0.2">
      <c r="A34" s="22" t="s">
        <v>14</v>
      </c>
      <c r="C34" s="24">
        <v>112</v>
      </c>
      <c r="D34" s="24">
        <v>142</v>
      </c>
      <c r="E34" s="24">
        <v>194</v>
      </c>
      <c r="F34" s="24">
        <v>251</v>
      </c>
    </row>
    <row r="35" spans="1:6" x14ac:dyDescent="0.2">
      <c r="A35" s="22" t="s">
        <v>13</v>
      </c>
      <c r="C35" s="24">
        <v>3247</v>
      </c>
      <c r="D35" s="24">
        <v>3873</v>
      </c>
      <c r="E35" s="24">
        <v>5079</v>
      </c>
      <c r="F35" s="24">
        <v>6034</v>
      </c>
    </row>
    <row r="36" spans="1:6" x14ac:dyDescent="0.2">
      <c r="A36" s="22" t="s">
        <v>27</v>
      </c>
      <c r="C36" s="24">
        <v>2032</v>
      </c>
      <c r="D36" s="24">
        <v>2240</v>
      </c>
      <c r="E36" s="24">
        <v>2924</v>
      </c>
      <c r="F36" s="24">
        <v>3495</v>
      </c>
    </row>
    <row r="37" spans="1:6" x14ac:dyDescent="0.2">
      <c r="A37" s="22" t="s">
        <v>28</v>
      </c>
      <c r="C37" s="24">
        <v>2238</v>
      </c>
      <c r="D37" s="24">
        <v>2648</v>
      </c>
      <c r="E37" s="24">
        <v>3368</v>
      </c>
      <c r="F37" s="24">
        <v>4048</v>
      </c>
    </row>
    <row r="38" spans="1:6" x14ac:dyDescent="0.2">
      <c r="A38" s="22" t="s">
        <v>29</v>
      </c>
      <c r="C38" s="24">
        <v>1387</v>
      </c>
      <c r="D38" s="24">
        <v>1521</v>
      </c>
      <c r="E38" s="24">
        <v>1922</v>
      </c>
      <c r="F38" s="24">
        <v>2336</v>
      </c>
    </row>
    <row r="39" spans="1:6" x14ac:dyDescent="0.2">
      <c r="A39" s="22" t="s">
        <v>30</v>
      </c>
      <c r="C39" s="24">
        <v>5878</v>
      </c>
      <c r="D39" s="24">
        <v>6119</v>
      </c>
      <c r="E39" s="24">
        <v>6562</v>
      </c>
      <c r="F39" s="24">
        <v>7177</v>
      </c>
    </row>
    <row r="40" spans="1:6" x14ac:dyDescent="0.2">
      <c r="A40" s="22" t="s">
        <v>546</v>
      </c>
      <c r="C40" s="29">
        <v>0.7</v>
      </c>
      <c r="D40" s="29">
        <v>0.76</v>
      </c>
      <c r="E40" s="29">
        <v>0.73</v>
      </c>
      <c r="F40" s="29">
        <v>0.74</v>
      </c>
    </row>
    <row r="41" spans="1:6" hidden="1" x14ac:dyDescent="0.2">
      <c r="A41" s="22"/>
      <c r="D41" s="24"/>
      <c r="F41" s="29"/>
    </row>
    <row r="42" spans="1:6" s="26" customFormat="1" hidden="1" x14ac:dyDescent="0.2">
      <c r="A42" s="25" t="s">
        <v>547</v>
      </c>
      <c r="F42" s="26">
        <v>3207</v>
      </c>
    </row>
    <row r="43" spans="1:6" s="26" customFormat="1" hidden="1" x14ac:dyDescent="0.2">
      <c r="A43" s="25" t="s">
        <v>548</v>
      </c>
      <c r="F43" s="26">
        <v>1688</v>
      </c>
    </row>
    <row r="44" spans="1:6" s="26" customFormat="1" hidden="1" x14ac:dyDescent="0.2">
      <c r="A44" s="25"/>
    </row>
    <row r="45" spans="1:6" s="26" customFormat="1" x14ac:dyDescent="0.2">
      <c r="A45" s="25"/>
    </row>
    <row r="46" spans="1:6" x14ac:dyDescent="0.2">
      <c r="A46" s="22" t="s">
        <v>542</v>
      </c>
      <c r="B46" s="24">
        <v>16.170000000000002</v>
      </c>
      <c r="C46" s="24">
        <v>18.440000000000001</v>
      </c>
      <c r="D46" s="24">
        <v>20.97</v>
      </c>
      <c r="E46" s="24">
        <v>23.2</v>
      </c>
      <c r="F46" s="24">
        <v>9.1999999999999993</v>
      </c>
    </row>
    <row r="47" spans="1:6" x14ac:dyDescent="0.2">
      <c r="A47" s="22" t="s">
        <v>541</v>
      </c>
      <c r="B47" s="24">
        <v>28.6</v>
      </c>
      <c r="C47" s="24">
        <v>38.950000000000003</v>
      </c>
      <c r="D47" s="24">
        <v>42.97</v>
      </c>
      <c r="E47" s="24">
        <v>43.23</v>
      </c>
      <c r="F47" s="24">
        <v>16.43</v>
      </c>
    </row>
    <row r="48" spans="1:6" x14ac:dyDescent="0.2">
      <c r="A48" s="22" t="s">
        <v>17</v>
      </c>
      <c r="B48" s="23"/>
      <c r="C48" s="23">
        <v>0.55300000000000005</v>
      </c>
      <c r="D48" s="23">
        <v>0.63200000000000001</v>
      </c>
      <c r="E48" s="29">
        <v>0.63800000000000001</v>
      </c>
      <c r="F48" s="23">
        <v>0.752</v>
      </c>
    </row>
  </sheetData>
  <phoneticPr fontId="1" type="noConversion"/>
  <conditionalFormatting sqref="A12:XFD12">
    <cfRule type="colorScale" priority="2">
      <colorScale>
        <cfvo type="min"/>
        <cfvo type="max"/>
        <color rgb="FF63BE7B"/>
        <color rgb="FFFFEF9C"/>
      </colorScale>
    </cfRule>
  </conditionalFormatting>
  <conditionalFormatting sqref="A20:XFD20">
    <cfRule type="colorScale" priority="5">
      <colorScale>
        <cfvo type="min"/>
        <cfvo type="max"/>
        <color rgb="FFFFEF9C"/>
        <color rgb="FF63BE7B"/>
      </colorScale>
    </cfRule>
  </conditionalFormatting>
  <conditionalFormatting sqref="A28:XFD28">
    <cfRule type="colorScale" priority="4">
      <colorScale>
        <cfvo type="min"/>
        <cfvo type="max"/>
        <color rgb="FFFFEF9C"/>
        <color rgb="FF63BE7B"/>
      </colorScale>
    </cfRule>
  </conditionalFormatting>
  <conditionalFormatting sqref="A39:XFD39 A45:XFD45">
    <cfRule type="colorScale" priority="3">
      <colorScale>
        <cfvo type="min"/>
        <cfvo type="max"/>
        <color rgb="FF63BE7B"/>
        <color rgb="FFFFEF9C"/>
      </colorScale>
    </cfRule>
  </conditionalFormatting>
  <conditionalFormatting sqref="A2:XFD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A2AE8-B8BC-4E29-BFDF-86C6C64E118D}">
  <dimension ref="A1:F43"/>
  <sheetViews>
    <sheetView workbookViewId="0">
      <selection activeCell="J34" sqref="J34"/>
    </sheetView>
  </sheetViews>
  <sheetFormatPr defaultRowHeight="14.25" x14ac:dyDescent="0.2"/>
  <cols>
    <col min="1" max="1" width="19.5" style="1" customWidth="1"/>
    <col min="2" max="16384" width="9" style="2"/>
  </cols>
  <sheetData>
    <row r="1" spans="1:6" s="15" customFormat="1" x14ac:dyDescent="0.2">
      <c r="A1" s="14" t="s">
        <v>207</v>
      </c>
      <c r="B1" s="15" t="s">
        <v>4</v>
      </c>
      <c r="C1" s="15" t="s">
        <v>3</v>
      </c>
      <c r="D1" s="15" t="s">
        <v>2</v>
      </c>
      <c r="E1" s="15" t="s">
        <v>1</v>
      </c>
      <c r="F1" s="15" t="s">
        <v>448</v>
      </c>
    </row>
    <row r="2" spans="1:6" s="15" customFormat="1" x14ac:dyDescent="0.2">
      <c r="A2" s="14" t="s">
        <v>450</v>
      </c>
      <c r="B2" s="15">
        <v>247.69</v>
      </c>
      <c r="C2" s="15">
        <v>360.12</v>
      </c>
      <c r="D2" s="15">
        <v>580.42999999999995</v>
      </c>
      <c r="E2" s="15">
        <v>525.04</v>
      </c>
      <c r="F2" s="15">
        <v>606.45000000000005</v>
      </c>
    </row>
    <row r="3" spans="1:6" s="15" customFormat="1" x14ac:dyDescent="0.2">
      <c r="A3" s="14" t="s">
        <v>461</v>
      </c>
      <c r="B3" s="15">
        <v>17.71</v>
      </c>
      <c r="C3" s="15">
        <v>22.81</v>
      </c>
      <c r="D3" s="15">
        <v>93.12</v>
      </c>
      <c r="E3" s="15">
        <v>175.22</v>
      </c>
      <c r="F3" s="15">
        <v>76.77</v>
      </c>
    </row>
    <row r="4" spans="1:6" s="15" customFormat="1" x14ac:dyDescent="0.2">
      <c r="A4" s="14" t="s">
        <v>509</v>
      </c>
      <c r="B4" s="15">
        <v>191.15</v>
      </c>
      <c r="C4" s="15">
        <v>301.06</v>
      </c>
      <c r="D4" s="15">
        <v>502.58</v>
      </c>
      <c r="E4" s="15">
        <v>675.55</v>
      </c>
      <c r="F4" s="15">
        <v>323.89999999999998</v>
      </c>
    </row>
    <row r="5" spans="1:6" s="15" customFormat="1" x14ac:dyDescent="0.2">
      <c r="A5" s="14" t="s">
        <v>449</v>
      </c>
      <c r="B5" s="15">
        <v>16.399999999999999</v>
      </c>
      <c r="C5" s="15">
        <v>24.09</v>
      </c>
      <c r="D5" s="15">
        <v>42</v>
      </c>
      <c r="E5" s="15">
        <v>59.07</v>
      </c>
      <c r="F5" s="15">
        <v>20.89</v>
      </c>
    </row>
    <row r="6" spans="1:6" s="178" customFormat="1" x14ac:dyDescent="0.2">
      <c r="A6" s="177" t="s">
        <v>508</v>
      </c>
      <c r="B6" s="178">
        <f>B5/B4</f>
        <v>8.5796494899293738E-2</v>
      </c>
      <c r="C6" s="178">
        <f t="shared" ref="C6:F6" si="0">C5/C4</f>
        <v>8.0017272304524018E-2</v>
      </c>
      <c r="D6" s="178">
        <f t="shared" si="0"/>
        <v>8.3568785069043736E-2</v>
      </c>
      <c r="E6" s="178">
        <f t="shared" si="0"/>
        <v>8.7439863814669533E-2</v>
      </c>
      <c r="F6" s="178">
        <f t="shared" si="0"/>
        <v>6.4495214572398901E-2</v>
      </c>
    </row>
    <row r="7" spans="1:6" x14ac:dyDescent="0.2">
      <c r="A7" s="1" t="s">
        <v>32</v>
      </c>
      <c r="B7" s="2">
        <v>101.55</v>
      </c>
      <c r="C7" s="2">
        <v>118.72</v>
      </c>
      <c r="D7" s="2">
        <v>150.30000000000001</v>
      </c>
      <c r="E7" s="2">
        <v>185.53</v>
      </c>
      <c r="F7" s="2">
        <v>183.77</v>
      </c>
    </row>
    <row r="8" spans="1:6" x14ac:dyDescent="0.2">
      <c r="A8" s="1" t="s">
        <v>451</v>
      </c>
      <c r="F8" s="6">
        <v>0.87</v>
      </c>
    </row>
    <row r="9" spans="1:6" x14ac:dyDescent="0.2">
      <c r="A9" s="1" t="s">
        <v>208</v>
      </c>
      <c r="B9" s="2">
        <v>455.9</v>
      </c>
      <c r="C9" s="2">
        <v>912.8</v>
      </c>
      <c r="D9" s="2">
        <v>1180.5999999999999</v>
      </c>
      <c r="E9" s="2">
        <v>1330.1</v>
      </c>
      <c r="F9" s="2">
        <v>675.8</v>
      </c>
    </row>
    <row r="10" spans="1:6" x14ac:dyDescent="0.2">
      <c r="A10" s="1" t="s">
        <v>227</v>
      </c>
      <c r="B10" s="2">
        <v>449</v>
      </c>
      <c r="C10" s="2">
        <v>886.3</v>
      </c>
      <c r="D10" s="2">
        <v>1168.5</v>
      </c>
      <c r="E10" s="2">
        <v>1288.22</v>
      </c>
      <c r="F10" s="2">
        <v>596.29999999999995</v>
      </c>
    </row>
    <row r="11" spans="1:6" x14ac:dyDescent="0.2">
      <c r="A11" s="1" t="s">
        <v>230</v>
      </c>
      <c r="B11" s="2">
        <v>10158</v>
      </c>
      <c r="C11" s="2">
        <v>10300</v>
      </c>
      <c r="D11" s="7">
        <f>D9/D10*10000</f>
        <v>10103.551561831408</v>
      </c>
      <c r="E11" s="7">
        <f>E9/E10*10000</f>
        <v>10325.099750042695</v>
      </c>
      <c r="F11" s="7">
        <f>F9/F10*10000</f>
        <v>11333.221532785512</v>
      </c>
    </row>
    <row r="12" spans="1:6" x14ac:dyDescent="0.2">
      <c r="A12" s="1" t="s">
        <v>58</v>
      </c>
      <c r="B12" s="2">
        <v>9.26</v>
      </c>
      <c r="C12" s="2">
        <v>14.32</v>
      </c>
      <c r="D12" s="2">
        <v>21.38</v>
      </c>
      <c r="E12" s="2">
        <v>25.31</v>
      </c>
      <c r="F12" s="2">
        <v>11.3</v>
      </c>
    </row>
    <row r="13" spans="1:6" x14ac:dyDescent="0.2">
      <c r="A13" s="1" t="s">
        <v>59</v>
      </c>
      <c r="B13" s="2">
        <v>8</v>
      </c>
      <c r="C13" s="2">
        <v>17.36</v>
      </c>
      <c r="D13" s="2">
        <v>24.35</v>
      </c>
      <c r="E13" s="2">
        <v>33.299999999999997</v>
      </c>
      <c r="F13" s="2">
        <v>15.28</v>
      </c>
    </row>
    <row r="14" spans="1:6" x14ac:dyDescent="0.2">
      <c r="A14" s="1" t="s">
        <v>209</v>
      </c>
      <c r="B14" s="2">
        <v>21.35</v>
      </c>
      <c r="C14" s="2">
        <v>39.76</v>
      </c>
      <c r="D14" s="2">
        <v>74.52</v>
      </c>
      <c r="E14" s="2">
        <v>82.9</v>
      </c>
    </row>
    <row r="15" spans="1:6" x14ac:dyDescent="0.2">
      <c r="A15" s="1" t="s">
        <v>39</v>
      </c>
      <c r="B15" s="2">
        <v>18.489999999999998</v>
      </c>
      <c r="C15" s="2">
        <v>35.159999999999997</v>
      </c>
      <c r="D15" s="2">
        <v>66.98</v>
      </c>
      <c r="E15" s="2">
        <v>72.150000000000006</v>
      </c>
    </row>
    <row r="16" spans="1:6" x14ac:dyDescent="0.2">
      <c r="A16" s="1" t="s">
        <v>229</v>
      </c>
      <c r="B16" s="3">
        <v>7.1999999999999995E-2</v>
      </c>
      <c r="C16" s="3">
        <v>7.3999999999999996E-2</v>
      </c>
    </row>
    <row r="17" spans="1:6" x14ac:dyDescent="0.2">
      <c r="A17" s="1" t="s">
        <v>210</v>
      </c>
      <c r="C17" s="2">
        <v>9.64</v>
      </c>
      <c r="D17" s="2">
        <v>14.8</v>
      </c>
      <c r="E17" s="4">
        <f>17.7928+2.96547</f>
        <v>20.75827</v>
      </c>
    </row>
    <row r="18" spans="1:6" hidden="1" x14ac:dyDescent="0.2">
      <c r="A18" s="1" t="s">
        <v>211</v>
      </c>
      <c r="E18" s="2" t="s">
        <v>212</v>
      </c>
    </row>
    <row r="19" spans="1:6" hidden="1" x14ac:dyDescent="0.2">
      <c r="A19" s="1" t="s">
        <v>226</v>
      </c>
      <c r="D19" s="2" t="s">
        <v>172</v>
      </c>
    </row>
    <row r="21" spans="1:6" x14ac:dyDescent="0.2">
      <c r="A21" s="1" t="s">
        <v>215</v>
      </c>
    </row>
    <row r="22" spans="1:6" x14ac:dyDescent="0.2">
      <c r="A22" s="1" t="s">
        <v>216</v>
      </c>
      <c r="D22" s="2">
        <v>1425</v>
      </c>
      <c r="E22" s="2">
        <v>4285</v>
      </c>
    </row>
    <row r="23" spans="1:6" x14ac:dyDescent="0.2">
      <c r="A23" s="1" t="s">
        <v>217</v>
      </c>
      <c r="D23" s="2">
        <v>845</v>
      </c>
      <c r="E23" s="2">
        <v>2246</v>
      </c>
    </row>
    <row r="24" spans="1:6" x14ac:dyDescent="0.2">
      <c r="A24" s="1" t="s">
        <v>218</v>
      </c>
      <c r="D24" s="2">
        <v>2260</v>
      </c>
      <c r="E24" s="2">
        <v>6730</v>
      </c>
      <c r="F24" s="2">
        <v>7543</v>
      </c>
    </row>
    <row r="26" spans="1:6" x14ac:dyDescent="0.2">
      <c r="A26" s="1" t="s">
        <v>26</v>
      </c>
      <c r="B26" s="2">
        <v>58</v>
      </c>
      <c r="D26" s="2">
        <v>87</v>
      </c>
    </row>
    <row r="27" spans="1:6" x14ac:dyDescent="0.2">
      <c r="A27" s="1" t="s">
        <v>213</v>
      </c>
      <c r="B27" s="2">
        <v>1286</v>
      </c>
      <c r="D27" s="2">
        <v>1609</v>
      </c>
      <c r="E27" s="2">
        <v>2015</v>
      </c>
    </row>
    <row r="28" spans="1:6" x14ac:dyDescent="0.2">
      <c r="A28" s="1" t="s">
        <v>214</v>
      </c>
      <c r="D28" s="2">
        <v>1861</v>
      </c>
      <c r="E28" s="2">
        <v>2426</v>
      </c>
    </row>
    <row r="29" spans="1:6" x14ac:dyDescent="0.2">
      <c r="A29" s="1" t="s">
        <v>219</v>
      </c>
      <c r="C29" s="2">
        <v>198</v>
      </c>
      <c r="D29" s="2">
        <v>280</v>
      </c>
      <c r="E29" s="2">
        <v>370</v>
      </c>
    </row>
    <row r="30" spans="1:6" x14ac:dyDescent="0.2">
      <c r="A30" s="1" t="s">
        <v>220</v>
      </c>
      <c r="B30" s="2">
        <v>2487</v>
      </c>
      <c r="C30" s="2">
        <v>3410</v>
      </c>
      <c r="D30" s="2">
        <v>4503</v>
      </c>
      <c r="E30" s="2">
        <v>5718</v>
      </c>
      <c r="F30" s="2">
        <v>5358</v>
      </c>
    </row>
    <row r="31" spans="1:6" x14ac:dyDescent="0.2">
      <c r="A31" s="1" t="s">
        <v>221</v>
      </c>
      <c r="C31" s="6">
        <v>0.8</v>
      </c>
      <c r="D31" s="6">
        <v>0.79</v>
      </c>
      <c r="E31" s="6">
        <v>0.71</v>
      </c>
    </row>
    <row r="32" spans="1:6" x14ac:dyDescent="0.2">
      <c r="A32" s="1" t="s">
        <v>223</v>
      </c>
      <c r="D32" s="2">
        <v>4585</v>
      </c>
      <c r="E32" s="2">
        <v>6208</v>
      </c>
      <c r="F32" s="2">
        <v>5939</v>
      </c>
    </row>
    <row r="33" spans="1:6" x14ac:dyDescent="0.2">
      <c r="A33" s="1" t="s">
        <v>228</v>
      </c>
      <c r="B33" s="2">
        <v>2131</v>
      </c>
      <c r="C33" s="2">
        <v>2167</v>
      </c>
    </row>
    <row r="34" spans="1:6" ht="28.5" x14ac:dyDescent="0.2">
      <c r="A34" s="16" t="s">
        <v>222</v>
      </c>
      <c r="D34" s="2">
        <v>6845</v>
      </c>
      <c r="E34" s="2">
        <v>12938</v>
      </c>
      <c r="F34" s="2">
        <v>13482</v>
      </c>
    </row>
    <row r="36" spans="1:6" x14ac:dyDescent="0.2">
      <c r="A36" s="1" t="s">
        <v>5</v>
      </c>
      <c r="B36" s="3">
        <v>0.26700000000000002</v>
      </c>
      <c r="C36" s="3">
        <v>0.311</v>
      </c>
      <c r="D36" s="3">
        <v>0.29699999999999999</v>
      </c>
      <c r="E36" s="3">
        <v>0.251</v>
      </c>
      <c r="F36" s="6">
        <v>0.25</v>
      </c>
    </row>
    <row r="37" spans="1:6" x14ac:dyDescent="0.2">
      <c r="A37" s="1" t="s">
        <v>224</v>
      </c>
      <c r="B37" s="2">
        <v>7397</v>
      </c>
      <c r="C37" s="2">
        <v>9007</v>
      </c>
      <c r="D37" s="2">
        <v>9227</v>
      </c>
      <c r="E37" s="2">
        <v>9349</v>
      </c>
      <c r="F37" s="4">
        <f>296.74/368*10000</f>
        <v>8063.586956521739</v>
      </c>
    </row>
    <row r="39" spans="1:6" x14ac:dyDescent="0.2">
      <c r="A39" s="1" t="s">
        <v>160</v>
      </c>
      <c r="B39" s="2">
        <v>403.7</v>
      </c>
      <c r="C39" s="2">
        <v>577.22</v>
      </c>
      <c r="D39" s="2">
        <v>957.64</v>
      </c>
      <c r="E39" s="2">
        <v>1148.73</v>
      </c>
      <c r="F39" s="2">
        <v>1113.1099999999999</v>
      </c>
    </row>
    <row r="40" spans="1:6" x14ac:dyDescent="0.2">
      <c r="A40" s="1" t="s">
        <v>161</v>
      </c>
      <c r="B40" s="2">
        <v>204.9</v>
      </c>
      <c r="C40" s="2">
        <v>237.32</v>
      </c>
      <c r="D40" s="2">
        <v>418.73</v>
      </c>
      <c r="E40" s="2">
        <v>522.66999999999996</v>
      </c>
      <c r="F40" s="2">
        <v>517.22</v>
      </c>
    </row>
    <row r="41" spans="1:6" x14ac:dyDescent="0.2">
      <c r="A41" s="1" t="s">
        <v>17</v>
      </c>
      <c r="B41" s="6">
        <v>0.51</v>
      </c>
      <c r="C41" s="3">
        <v>0.58899999999999997</v>
      </c>
      <c r="D41" s="3">
        <v>0.749</v>
      </c>
      <c r="E41" s="3">
        <v>0.82699999999999996</v>
      </c>
      <c r="F41" s="3">
        <v>0.80700000000000005</v>
      </c>
    </row>
    <row r="43" spans="1:6" x14ac:dyDescent="0.2">
      <c r="A43" s="1" t="s">
        <v>225</v>
      </c>
      <c r="D43" s="2">
        <v>857.23</v>
      </c>
      <c r="E43" s="2">
        <v>1104.27</v>
      </c>
      <c r="F43" s="2">
        <v>975.84</v>
      </c>
    </row>
  </sheetData>
  <phoneticPr fontId="1" type="noConversion"/>
  <conditionalFormatting sqref="A10:XFD10">
    <cfRule type="colorScale" priority="4">
      <colorScale>
        <cfvo type="min"/>
        <cfvo type="max"/>
        <color rgb="FFFFEF9C"/>
        <color rgb="FF63BE7B"/>
      </colorScale>
    </cfRule>
  </conditionalFormatting>
  <conditionalFormatting sqref="A27:XFD27">
    <cfRule type="colorScale" priority="3">
      <colorScale>
        <cfvo type="min"/>
        <cfvo type="max"/>
        <color rgb="FFFFEF9C"/>
        <color rgb="FF63BE7B"/>
      </colorScale>
    </cfRule>
  </conditionalFormatting>
  <conditionalFormatting sqref="A22:XFD22">
    <cfRule type="colorScale" priority="2">
      <colorScale>
        <cfvo type="min"/>
        <cfvo type="max"/>
        <color rgb="FFFFEF9C"/>
        <color rgb="FF63BE7B"/>
      </colorScale>
    </cfRule>
  </conditionalFormatting>
  <conditionalFormatting sqref="A40:XFD4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FEC0-D697-4B69-9287-A4E9D0F4A922}">
  <dimension ref="A1:F39"/>
  <sheetViews>
    <sheetView workbookViewId="0">
      <selection activeCell="H17" sqref="H17"/>
    </sheetView>
  </sheetViews>
  <sheetFormatPr defaultRowHeight="14.25" x14ac:dyDescent="0.2"/>
  <cols>
    <col min="1" max="1" width="21.25" style="1" customWidth="1"/>
    <col min="2" max="16384" width="9" style="2"/>
  </cols>
  <sheetData>
    <row r="1" spans="1:5" s="15" customFormat="1" x14ac:dyDescent="0.2">
      <c r="A1" s="14" t="s">
        <v>236</v>
      </c>
      <c r="B1" s="15" t="s">
        <v>4</v>
      </c>
      <c r="C1" s="15" t="s">
        <v>3</v>
      </c>
      <c r="D1" s="15" t="s">
        <v>71</v>
      </c>
      <c r="E1" s="15" t="s">
        <v>72</v>
      </c>
    </row>
    <row r="2" spans="1:5" x14ac:dyDescent="0.2">
      <c r="A2" s="1" t="s">
        <v>5</v>
      </c>
      <c r="B2" s="3">
        <v>0.36099999999999999</v>
      </c>
      <c r="C2" s="3">
        <v>0.36199999999999999</v>
      </c>
      <c r="D2" s="3">
        <v>0.27800000000000002</v>
      </c>
      <c r="E2" s="3">
        <v>0.24199999999999999</v>
      </c>
    </row>
    <row r="3" spans="1:5" x14ac:dyDescent="0.2">
      <c r="A3" s="1" t="s">
        <v>9</v>
      </c>
      <c r="B3" s="2">
        <v>5009.6000000000004</v>
      </c>
      <c r="C3" s="2">
        <v>5513.4</v>
      </c>
      <c r="D3" s="2">
        <v>6010.6</v>
      </c>
      <c r="E3" s="2">
        <v>7232.5</v>
      </c>
    </row>
    <row r="4" spans="1:5" x14ac:dyDescent="0.2">
      <c r="A4" s="1" t="s">
        <v>237</v>
      </c>
      <c r="B4" s="2">
        <v>5029.8999999999996</v>
      </c>
      <c r="C4" s="2">
        <v>5243.5</v>
      </c>
      <c r="D4" s="2">
        <v>5846.3</v>
      </c>
      <c r="E4" s="2">
        <v>8085.6</v>
      </c>
    </row>
    <row r="5" spans="1:5" x14ac:dyDescent="0.2">
      <c r="A5" s="1" t="s">
        <v>198</v>
      </c>
      <c r="E5" s="2">
        <v>6531.6</v>
      </c>
    </row>
    <row r="6" spans="1:5" s="4" customFormat="1" x14ac:dyDescent="0.2">
      <c r="A6" s="144" t="s">
        <v>608</v>
      </c>
      <c r="B6" s="4">
        <f t="shared" ref="B6:D6" si="0">B3*0.9*0.92</f>
        <v>4147.9488000000001</v>
      </c>
      <c r="C6" s="4">
        <f t="shared" si="0"/>
        <v>4565.0951999999997</v>
      </c>
      <c r="D6" s="4">
        <f t="shared" si="0"/>
        <v>4976.7768000000015</v>
      </c>
      <c r="E6" s="4">
        <f>E3*0.9*0.92</f>
        <v>5988.51</v>
      </c>
    </row>
    <row r="7" spans="1:5" x14ac:dyDescent="0.2">
      <c r="A7" s="1" t="s">
        <v>58</v>
      </c>
      <c r="B7" s="2">
        <v>172.1</v>
      </c>
      <c r="C7" s="2">
        <v>180.9</v>
      </c>
      <c r="D7" s="2">
        <v>232.87</v>
      </c>
      <c r="E7" s="2">
        <v>319.62</v>
      </c>
    </row>
    <row r="8" spans="1:5" x14ac:dyDescent="0.2">
      <c r="A8" s="1" t="s">
        <v>59</v>
      </c>
      <c r="B8" s="2">
        <v>121.8</v>
      </c>
      <c r="C8" s="2">
        <v>148.1</v>
      </c>
      <c r="D8" s="2">
        <v>198.11</v>
      </c>
      <c r="E8" s="2">
        <v>210.64</v>
      </c>
    </row>
    <row r="9" spans="1:5" x14ac:dyDescent="0.2">
      <c r="A9" s="1" t="s">
        <v>32</v>
      </c>
      <c r="B9" s="2">
        <v>1147.72</v>
      </c>
      <c r="C9" s="2">
        <v>1329.95</v>
      </c>
      <c r="D9" s="2">
        <v>1457</v>
      </c>
      <c r="E9" s="2">
        <v>1469</v>
      </c>
    </row>
    <row r="10" spans="1:5" s="33" customFormat="1" x14ac:dyDescent="0.2">
      <c r="A10" s="31" t="s">
        <v>160</v>
      </c>
      <c r="B10" s="32">
        <v>7326</v>
      </c>
      <c r="C10" s="32">
        <v>6731</v>
      </c>
      <c r="D10" s="32">
        <v>7999</v>
      </c>
      <c r="E10" s="32">
        <v>7165</v>
      </c>
    </row>
    <row r="11" spans="1:5" x14ac:dyDescent="0.2">
      <c r="A11" s="1" t="s">
        <v>238</v>
      </c>
      <c r="B11" s="2">
        <v>3564</v>
      </c>
      <c r="C11" s="2">
        <v>3183</v>
      </c>
      <c r="D11" s="2">
        <v>3721</v>
      </c>
      <c r="E11" s="2">
        <v>3355</v>
      </c>
    </row>
    <row r="12" spans="1:5" s="13" customFormat="1" x14ac:dyDescent="0.2">
      <c r="A12" s="19" t="s">
        <v>239</v>
      </c>
      <c r="B12" s="13">
        <f>B10-B11</f>
        <v>3762</v>
      </c>
      <c r="C12" s="13">
        <f>C10-C11</f>
        <v>3548</v>
      </c>
      <c r="D12" s="13">
        <f>D10-D11</f>
        <v>4278</v>
      </c>
      <c r="E12" s="13">
        <f t="shared" ref="E12" si="1">E10-E11</f>
        <v>3810</v>
      </c>
    </row>
    <row r="13" spans="1:5" x14ac:dyDescent="0.2">
      <c r="A13" s="1" t="s">
        <v>261</v>
      </c>
      <c r="B13" s="3">
        <v>8.09E-2</v>
      </c>
      <c r="C13" s="3">
        <v>8.1799999999999998E-2</v>
      </c>
      <c r="D13" s="3">
        <v>8.9899999999999994E-2</v>
      </c>
      <c r="E13" s="3">
        <v>9.4899999999999998E-2</v>
      </c>
    </row>
    <row r="14" spans="1:5" x14ac:dyDescent="0.2">
      <c r="A14" s="1" t="s">
        <v>38</v>
      </c>
      <c r="B14" s="2">
        <f>444.43+45.11+38.25</f>
        <v>527.79</v>
      </c>
      <c r="C14" s="2">
        <f>483.81+51.05+10.97+33.44</f>
        <v>579.27</v>
      </c>
      <c r="D14" s="2">
        <f>513.95+132.75+37.7</f>
        <v>684.40000000000009</v>
      </c>
      <c r="E14" s="2">
        <f>585.25+198.76+33.21</f>
        <v>817.22</v>
      </c>
    </row>
    <row r="15" spans="1:5" x14ac:dyDescent="0.2">
      <c r="A15" s="1" t="s">
        <v>39</v>
      </c>
      <c r="B15" s="2">
        <v>450.53</v>
      </c>
      <c r="C15" s="2">
        <v>499.35</v>
      </c>
      <c r="D15" s="2">
        <v>509.24</v>
      </c>
      <c r="E15" s="2">
        <v>694.62</v>
      </c>
    </row>
    <row r="16" spans="1:5" x14ac:dyDescent="0.2">
      <c r="A16" s="1" t="s">
        <v>240</v>
      </c>
      <c r="B16" s="2">
        <v>31200</v>
      </c>
      <c r="C16" s="2">
        <v>30300</v>
      </c>
      <c r="D16" s="2">
        <v>24000</v>
      </c>
      <c r="E16" s="2">
        <v>23100</v>
      </c>
    </row>
    <row r="18" spans="1:6" x14ac:dyDescent="0.2">
      <c r="A18" s="1" t="s">
        <v>241</v>
      </c>
      <c r="B18" s="2">
        <v>226</v>
      </c>
      <c r="C18" s="2">
        <v>105</v>
      </c>
      <c r="D18" s="2">
        <v>153</v>
      </c>
      <c r="E18" s="2">
        <v>140</v>
      </c>
    </row>
    <row r="19" spans="1:6" x14ac:dyDescent="0.2">
      <c r="A19" s="1" t="s">
        <v>242</v>
      </c>
      <c r="B19" s="2">
        <v>12600</v>
      </c>
      <c r="C19" s="2">
        <v>4993</v>
      </c>
      <c r="D19" s="2">
        <v>6703</v>
      </c>
      <c r="E19" s="2">
        <v>6892</v>
      </c>
    </row>
    <row r="20" spans="1:6" x14ac:dyDescent="0.2">
      <c r="A20" s="1" t="s">
        <v>243</v>
      </c>
      <c r="B20" s="2">
        <v>1889</v>
      </c>
      <c r="C20" s="2">
        <v>1611</v>
      </c>
      <c r="D20" s="2">
        <v>2101</v>
      </c>
      <c r="E20" s="2">
        <v>1992</v>
      </c>
    </row>
    <row r="22" spans="1:6" x14ac:dyDescent="0.2">
      <c r="A22" s="1" t="s">
        <v>244</v>
      </c>
      <c r="B22" s="2">
        <v>766</v>
      </c>
      <c r="C22" s="2">
        <v>811</v>
      </c>
      <c r="D22" s="2">
        <v>876</v>
      </c>
      <c r="E22" s="2">
        <v>798</v>
      </c>
    </row>
    <row r="23" spans="1:6" x14ac:dyDescent="0.2">
      <c r="A23" s="1" t="s">
        <v>245</v>
      </c>
      <c r="B23" s="2">
        <v>5336</v>
      </c>
      <c r="C23" s="2">
        <v>4962</v>
      </c>
      <c r="D23" s="2">
        <v>5273</v>
      </c>
      <c r="E23" s="2">
        <v>4901</v>
      </c>
      <c r="F23" s="2">
        <f>E23*4.5</f>
        <v>22054.5</v>
      </c>
    </row>
    <row r="24" spans="1:6" hidden="1" x14ac:dyDescent="0.2">
      <c r="A24" s="1" t="s">
        <v>263</v>
      </c>
      <c r="B24" s="2">
        <v>31200</v>
      </c>
      <c r="C24" s="2">
        <v>30300</v>
      </c>
      <c r="D24" s="2">
        <v>29300</v>
      </c>
      <c r="E24" s="2">
        <v>23100</v>
      </c>
    </row>
    <row r="25" spans="1:6" x14ac:dyDescent="0.2">
      <c r="A25" s="1" t="s">
        <v>262</v>
      </c>
      <c r="B25" s="2">
        <v>1711</v>
      </c>
      <c r="C25" s="2">
        <v>1635</v>
      </c>
      <c r="D25" s="2">
        <v>1800</v>
      </c>
    </row>
    <row r="27" spans="1:6" x14ac:dyDescent="0.2">
      <c r="A27" s="1" t="s">
        <v>246</v>
      </c>
      <c r="B27" s="2">
        <v>9631</v>
      </c>
      <c r="C27" s="2">
        <v>7567</v>
      </c>
      <c r="D27" s="2">
        <v>6513</v>
      </c>
      <c r="E27" s="2">
        <v>8237</v>
      </c>
    </row>
    <row r="28" spans="1:6" x14ac:dyDescent="0.2">
      <c r="A28" s="1" t="s">
        <v>247</v>
      </c>
      <c r="B28" s="2">
        <v>13200</v>
      </c>
      <c r="C28" s="2">
        <v>13500</v>
      </c>
      <c r="D28" s="2">
        <v>12300</v>
      </c>
      <c r="E28" s="2">
        <v>13200</v>
      </c>
    </row>
    <row r="29" spans="1:6" x14ac:dyDescent="0.2">
      <c r="A29" s="1" t="s">
        <v>248</v>
      </c>
      <c r="B29" s="2">
        <v>4514</v>
      </c>
      <c r="C29" s="2">
        <v>7225</v>
      </c>
      <c r="D29" s="2">
        <v>7701</v>
      </c>
      <c r="E29" s="2">
        <v>7392</v>
      </c>
    </row>
    <row r="31" spans="1:6" x14ac:dyDescent="0.2">
      <c r="A31" s="1" t="s">
        <v>249</v>
      </c>
      <c r="B31" s="2" t="s">
        <v>250</v>
      </c>
    </row>
    <row r="32" spans="1:6" x14ac:dyDescent="0.2">
      <c r="A32" s="1" t="s">
        <v>251</v>
      </c>
      <c r="B32" s="2" t="s">
        <v>253</v>
      </c>
    </row>
    <row r="33" spans="1:2" x14ac:dyDescent="0.2">
      <c r="A33" s="1" t="s">
        <v>252</v>
      </c>
      <c r="B33" s="2" t="s">
        <v>254</v>
      </c>
    </row>
    <row r="34" spans="1:2" x14ac:dyDescent="0.2">
      <c r="A34" s="1" t="s">
        <v>255</v>
      </c>
      <c r="B34" s="2" t="s">
        <v>256</v>
      </c>
    </row>
    <row r="35" spans="1:2" x14ac:dyDescent="0.2">
      <c r="A35" s="1" t="s">
        <v>257</v>
      </c>
      <c r="B35" s="2" t="s">
        <v>258</v>
      </c>
    </row>
    <row r="36" spans="1:2" x14ac:dyDescent="0.2">
      <c r="A36" s="1" t="s">
        <v>259</v>
      </c>
      <c r="B36" s="2" t="s">
        <v>260</v>
      </c>
    </row>
    <row r="39" spans="1:2" x14ac:dyDescent="0.2">
      <c r="A39" s="1">
        <f>6690/E3</f>
        <v>0.92499135845143454</v>
      </c>
    </row>
  </sheetData>
  <phoneticPr fontId="1" type="noConversion"/>
  <conditionalFormatting sqref="A4:XFD4">
    <cfRule type="colorScale" priority="4">
      <colorScale>
        <cfvo type="min"/>
        <cfvo type="max"/>
        <color rgb="FFFFEF9C"/>
        <color rgb="FF63BE7B"/>
      </colorScale>
    </cfRule>
  </conditionalFormatting>
  <conditionalFormatting sqref="A19:XFD19">
    <cfRule type="colorScale" priority="3">
      <colorScale>
        <cfvo type="min"/>
        <cfvo type="max"/>
        <color rgb="FFFFEF9C"/>
        <color rgb="FF63BE7B"/>
      </colorScale>
    </cfRule>
  </conditionalFormatting>
  <conditionalFormatting sqref="A11:XFD11">
    <cfRule type="colorScale" priority="2">
      <colorScale>
        <cfvo type="min"/>
        <cfvo type="max"/>
        <color rgb="FFFFEF9C"/>
        <color rgb="FF63BE7B"/>
      </colorScale>
    </cfRule>
  </conditionalFormatting>
  <conditionalFormatting sqref="A14:XFD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C985C-FF2A-4422-8690-469E781280D9}">
  <dimension ref="A1:V54"/>
  <sheetViews>
    <sheetView workbookViewId="0">
      <pane ySplit="1" topLeftCell="A2" activePane="bottomLeft" state="frozen"/>
      <selection pane="bottomLeft" activeCell="A6" sqref="A6"/>
    </sheetView>
  </sheetViews>
  <sheetFormatPr defaultRowHeight="17.100000000000001" customHeight="1" x14ac:dyDescent="0.35"/>
  <cols>
    <col min="1" max="1" width="23.625" style="68" customWidth="1"/>
    <col min="2" max="2" width="10" style="68" hidden="1" customWidth="1"/>
    <col min="3" max="3" width="9.75" style="68" hidden="1" customWidth="1"/>
    <col min="4" max="4" width="9.5" style="38" customWidth="1"/>
    <col min="5" max="5" width="9.75" style="38" customWidth="1"/>
    <col min="6" max="6" width="9.375" style="36" customWidth="1"/>
    <col min="7" max="7" width="8.375" style="36" customWidth="1"/>
    <col min="8" max="8" width="9" style="37" customWidth="1"/>
    <col min="9" max="9" width="6.875" style="38" customWidth="1"/>
    <col min="10" max="10" width="9.5" style="38" customWidth="1"/>
    <col min="11" max="11" width="6.875" style="38" customWidth="1"/>
    <col min="12" max="12" width="8.25" style="39" customWidth="1"/>
    <col min="13" max="13" width="8.75" style="36" customWidth="1"/>
    <col min="14" max="14" width="7.125" style="36" customWidth="1"/>
    <col min="15" max="15" width="6.625" style="36" customWidth="1"/>
    <col min="16" max="16" width="6.375" style="36" customWidth="1"/>
    <col min="17" max="17" width="8.25" style="36" customWidth="1"/>
    <col min="18" max="18" width="6.75" style="39" customWidth="1"/>
    <col min="19" max="19" width="7.125" style="36" customWidth="1"/>
    <col min="20" max="20" width="8.5" style="36" customWidth="1"/>
    <col min="21" max="22" width="9" style="36" customWidth="1"/>
    <col min="23" max="23" width="7" style="36" customWidth="1"/>
    <col min="24" max="24" width="9" style="36" customWidth="1"/>
    <col min="25" max="25" width="9.875" style="36" customWidth="1"/>
    <col min="26" max="26" width="9.375" style="36" customWidth="1"/>
    <col min="27" max="27" width="8.25" style="36" customWidth="1"/>
    <col min="28" max="28" width="8.125" style="36" customWidth="1"/>
    <col min="29" max="29" width="8.875" style="36" customWidth="1"/>
    <col min="30" max="16384" width="9" style="36"/>
  </cols>
  <sheetData>
    <row r="1" spans="1:21" s="44" customFormat="1" ht="30" customHeight="1" x14ac:dyDescent="0.2">
      <c r="A1" s="65" t="s">
        <v>47</v>
      </c>
      <c r="B1" s="65" t="s">
        <v>415</v>
      </c>
      <c r="C1" s="65" t="s">
        <v>414</v>
      </c>
      <c r="D1" s="44" t="s">
        <v>4</v>
      </c>
      <c r="E1" s="44" t="s">
        <v>3</v>
      </c>
      <c r="F1" s="44" t="s">
        <v>2</v>
      </c>
      <c r="G1" s="44" t="s">
        <v>1</v>
      </c>
      <c r="H1" s="62" t="s">
        <v>567</v>
      </c>
      <c r="I1" s="63"/>
      <c r="J1" s="63"/>
      <c r="K1" s="63"/>
      <c r="L1" s="64"/>
      <c r="R1" s="64"/>
    </row>
    <row r="2" spans="1:21" ht="17.100000000000001" customHeight="1" x14ac:dyDescent="0.25">
      <c r="A2" s="66" t="s">
        <v>32</v>
      </c>
      <c r="B2" s="74">
        <v>128.27000000000001</v>
      </c>
      <c r="C2" s="74">
        <v>149.80000000000001</v>
      </c>
      <c r="D2" s="74">
        <v>209.03</v>
      </c>
      <c r="E2" s="74">
        <v>256.3</v>
      </c>
      <c r="F2" s="74">
        <v>301.99</v>
      </c>
      <c r="G2" s="74">
        <v>360.52</v>
      </c>
      <c r="H2" s="71">
        <v>373.69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38"/>
      <c r="U2" s="38"/>
    </row>
    <row r="3" spans="1:21" s="38" customFormat="1" ht="17.100000000000001" customHeight="1" x14ac:dyDescent="0.25">
      <c r="A3" s="66" t="s">
        <v>568</v>
      </c>
      <c r="B3" s="74">
        <v>24.56</v>
      </c>
      <c r="C3" s="74">
        <v>23.03</v>
      </c>
      <c r="D3" s="74">
        <v>95.19</v>
      </c>
      <c r="E3" s="74">
        <v>256.3</v>
      </c>
      <c r="F3" s="74">
        <v>341.14</v>
      </c>
      <c r="G3" s="74">
        <v>440.54</v>
      </c>
      <c r="H3" s="71">
        <v>572.35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21" s="38" customFormat="1" ht="17.100000000000001" customHeight="1" x14ac:dyDescent="0.25">
      <c r="A4" s="66" t="s">
        <v>570</v>
      </c>
      <c r="B4" s="74"/>
      <c r="C4" s="74"/>
      <c r="D4" s="74">
        <v>38.479999999999997</v>
      </c>
      <c r="E4" s="74">
        <v>38.840000000000003</v>
      </c>
      <c r="F4" s="74">
        <v>38.840000000000003</v>
      </c>
      <c r="G4" s="74">
        <v>35.369999999999997</v>
      </c>
      <c r="H4" s="71">
        <v>19.25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</row>
    <row r="5" spans="1:21" s="38" customFormat="1" ht="17.100000000000001" customHeight="1" x14ac:dyDescent="0.25">
      <c r="A5" s="66" t="s">
        <v>569</v>
      </c>
      <c r="B5" s="74">
        <v>90.5</v>
      </c>
      <c r="C5" s="74">
        <v>87.14</v>
      </c>
      <c r="D5" s="74">
        <v>174.52</v>
      </c>
      <c r="E5" s="74">
        <v>446.18</v>
      </c>
      <c r="F5" s="74">
        <v>576.41999999999996</v>
      </c>
      <c r="G5" s="74">
        <v>511.55</v>
      </c>
      <c r="H5" s="71">
        <v>524.05999999999995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</row>
    <row r="6" spans="1:21" s="38" customFormat="1" ht="17.100000000000001" customHeight="1" x14ac:dyDescent="0.25">
      <c r="A6" s="66" t="s">
        <v>589</v>
      </c>
      <c r="B6" s="74"/>
      <c r="C6" s="74"/>
      <c r="D6" s="74"/>
      <c r="E6" s="74">
        <v>12.9</v>
      </c>
      <c r="F6" s="74">
        <v>123.26</v>
      </c>
      <c r="G6" s="74">
        <v>119.28</v>
      </c>
      <c r="H6" s="202">
        <v>1.02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21" ht="17.100000000000001" customHeight="1" x14ac:dyDescent="0.25">
      <c r="A7" s="57"/>
      <c r="B7" s="69"/>
      <c r="C7" s="69"/>
      <c r="D7" s="69"/>
      <c r="E7" s="69"/>
      <c r="F7" s="69"/>
      <c r="G7" s="79"/>
      <c r="H7" s="70"/>
      <c r="I7" s="71"/>
      <c r="J7" s="71"/>
      <c r="K7" s="71"/>
      <c r="L7" s="72"/>
      <c r="M7" s="73"/>
      <c r="N7" s="73"/>
      <c r="O7" s="73"/>
      <c r="P7" s="73"/>
      <c r="Q7" s="73"/>
      <c r="R7" s="72"/>
      <c r="S7" s="73"/>
    </row>
    <row r="8" spans="1:21" s="198" customFormat="1" ht="17.100000000000001" customHeight="1" x14ac:dyDescent="0.25">
      <c r="A8" s="195" t="s">
        <v>574</v>
      </c>
      <c r="B8" s="196"/>
      <c r="C8" s="196"/>
      <c r="D8" s="196">
        <v>0.22800000000000001</v>
      </c>
      <c r="E8" s="196">
        <v>0.23799999999999999</v>
      </c>
      <c r="F8" s="196">
        <v>0.247</v>
      </c>
      <c r="G8" s="196">
        <v>0.24199999999999999</v>
      </c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</row>
    <row r="9" spans="1:21" s="38" customFormat="1" ht="17.100000000000001" customHeight="1" x14ac:dyDescent="0.25">
      <c r="A9" s="66" t="s">
        <v>565</v>
      </c>
      <c r="B9" s="74">
        <v>182.31</v>
      </c>
      <c r="C9" s="74">
        <v>222.24</v>
      </c>
      <c r="D9" s="74">
        <v>318.24</v>
      </c>
      <c r="E9" s="74">
        <v>423.68</v>
      </c>
      <c r="F9" s="74">
        <v>564.51</v>
      </c>
      <c r="G9" s="74">
        <v>717.99</v>
      </c>
      <c r="H9" s="71">
        <v>364</v>
      </c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21" s="198" customFormat="1" ht="17.100000000000001" customHeight="1" x14ac:dyDescent="0.25">
      <c r="A10" s="195" t="s">
        <v>5</v>
      </c>
      <c r="B10" s="196">
        <v>0.22700000000000001</v>
      </c>
      <c r="C10" s="196">
        <v>0.254</v>
      </c>
      <c r="D10" s="196">
        <v>0.29699999999999999</v>
      </c>
      <c r="E10" s="196">
        <v>0.34699999999999998</v>
      </c>
      <c r="F10" s="196">
        <v>0.29699999999999999</v>
      </c>
      <c r="G10" s="196">
        <v>0.251</v>
      </c>
      <c r="H10" s="197">
        <v>0.20699999999999999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</row>
    <row r="11" spans="1:21" s="198" customFormat="1" ht="17.100000000000001" customHeight="1" x14ac:dyDescent="0.25">
      <c r="A11" s="195" t="s">
        <v>48</v>
      </c>
      <c r="B11" s="196">
        <v>0.121</v>
      </c>
      <c r="C11" s="196">
        <v>0.127</v>
      </c>
      <c r="D11" s="196">
        <v>0.128</v>
      </c>
      <c r="E11" s="196">
        <v>0.13100000000000001</v>
      </c>
      <c r="F11" s="196">
        <v>0.122</v>
      </c>
      <c r="G11" s="196">
        <v>0.112</v>
      </c>
      <c r="H11" s="197">
        <v>9.1999999999999998E-2</v>
      </c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</row>
    <row r="12" spans="1:21" ht="17.100000000000001" customHeight="1" x14ac:dyDescent="0.25">
      <c r="A12" s="66" t="s">
        <v>419</v>
      </c>
      <c r="B12" s="74">
        <v>20.95</v>
      </c>
      <c r="C12" s="74">
        <v>28.08</v>
      </c>
      <c r="D12" s="74">
        <v>48.28</v>
      </c>
      <c r="E12" s="74">
        <v>54.09</v>
      </c>
      <c r="F12" s="74">
        <v>64.430000000000007</v>
      </c>
      <c r="G12" s="74">
        <v>80.319999999999993</v>
      </c>
      <c r="H12" s="71">
        <v>36.03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</row>
    <row r="13" spans="1:21" s="37" customFormat="1" ht="17.100000000000001" customHeight="1" x14ac:dyDescent="0.25">
      <c r="A13" s="176" t="s">
        <v>507</v>
      </c>
      <c r="B13" s="69">
        <f>B12/182.31</f>
        <v>0.11491415720476111</v>
      </c>
      <c r="C13" s="69">
        <f>C12/222.24</f>
        <v>0.1263498920086393</v>
      </c>
      <c r="D13" s="69">
        <f>D12/D9</f>
        <v>0.1517094017094017</v>
      </c>
      <c r="E13" s="69">
        <f t="shared" ref="E13:G13" si="0">E12/E9</f>
        <v>0.12766710725075528</v>
      </c>
      <c r="F13" s="69">
        <f t="shared" si="0"/>
        <v>0.11413438203043348</v>
      </c>
      <c r="G13" s="69">
        <f t="shared" si="0"/>
        <v>0.11186785331272023</v>
      </c>
      <c r="H13" s="69">
        <f>H12/H9</f>
        <v>9.8983516483516484E-2</v>
      </c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</row>
    <row r="14" spans="1:21" ht="17.100000000000001" customHeight="1" x14ac:dyDescent="0.25">
      <c r="A14" s="66" t="s">
        <v>60</v>
      </c>
      <c r="B14" s="74"/>
      <c r="C14" s="74"/>
      <c r="D14" s="74">
        <v>21.05</v>
      </c>
      <c r="E14" s="74">
        <v>21.75</v>
      </c>
      <c r="F14" s="74">
        <v>35.07</v>
      </c>
      <c r="G14" s="74">
        <v>21.28</v>
      </c>
      <c r="H14" s="71">
        <v>6.54</v>
      </c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38"/>
    </row>
    <row r="15" spans="1:21" ht="17.100000000000001" customHeight="1" x14ac:dyDescent="0.35">
      <c r="A15" s="61"/>
      <c r="B15" s="74"/>
      <c r="C15" s="74"/>
      <c r="D15" s="74"/>
      <c r="E15" s="74"/>
      <c r="F15" s="75"/>
      <c r="G15" s="75"/>
      <c r="H15" s="70"/>
      <c r="I15" s="71"/>
      <c r="J15" s="71"/>
      <c r="K15" s="71"/>
      <c r="L15" s="72"/>
      <c r="M15" s="73"/>
      <c r="N15" s="73"/>
      <c r="O15" s="73"/>
      <c r="P15" s="73"/>
      <c r="Q15" s="73"/>
      <c r="R15" s="72"/>
      <c r="S15" s="73"/>
    </row>
    <row r="16" spans="1:21" ht="16.5" customHeight="1" x14ac:dyDescent="0.25">
      <c r="A16" s="57" t="s">
        <v>9</v>
      </c>
      <c r="B16" s="77">
        <v>302.08999999999997</v>
      </c>
      <c r="C16" s="77">
        <v>530.02</v>
      </c>
      <c r="D16" s="77">
        <v>1040</v>
      </c>
      <c r="E16" s="75">
        <v>1520</v>
      </c>
      <c r="F16" s="77">
        <v>2006</v>
      </c>
      <c r="G16" s="75">
        <v>2310</v>
      </c>
      <c r="H16" s="71">
        <v>1361.5</v>
      </c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38"/>
      <c r="U16" s="38"/>
    </row>
    <row r="17" spans="1:22" ht="17.100000000000001" customHeight="1" x14ac:dyDescent="0.25">
      <c r="A17" s="57" t="s">
        <v>10</v>
      </c>
      <c r="B17" s="78">
        <v>205.62</v>
      </c>
      <c r="C17" s="78">
        <v>291.63</v>
      </c>
      <c r="D17" s="78">
        <v>629.16999999999996</v>
      </c>
      <c r="E17" s="75">
        <v>956.94</v>
      </c>
      <c r="F17" s="78">
        <f>G17/1.278</f>
        <v>1203.8419405320813</v>
      </c>
      <c r="G17" s="75">
        <v>1538.51</v>
      </c>
      <c r="H17" s="71">
        <v>797.33</v>
      </c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38"/>
      <c r="U17" s="38"/>
    </row>
    <row r="18" spans="1:22" ht="17.100000000000001" customHeight="1" x14ac:dyDescent="0.25">
      <c r="A18" s="57" t="s">
        <v>20</v>
      </c>
      <c r="B18" s="77">
        <v>14692</v>
      </c>
      <c r="C18" s="77">
        <v>18175</v>
      </c>
      <c r="D18" s="77">
        <v>16530</v>
      </c>
      <c r="E18" s="75">
        <v>15900</v>
      </c>
      <c r="F18" s="75">
        <v>16700</v>
      </c>
      <c r="G18" s="75">
        <v>15000</v>
      </c>
      <c r="H18" s="72">
        <v>17100</v>
      </c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1"/>
      <c r="T18" s="38"/>
      <c r="U18" s="38"/>
    </row>
    <row r="19" spans="1:22" ht="17.100000000000001" customHeight="1" x14ac:dyDescent="0.25">
      <c r="A19" s="57" t="s">
        <v>49</v>
      </c>
      <c r="B19" s="77"/>
      <c r="C19" s="77"/>
      <c r="D19" s="77" t="s">
        <v>62</v>
      </c>
      <c r="E19" s="75" t="s">
        <v>62</v>
      </c>
      <c r="F19" s="75" t="s">
        <v>50</v>
      </c>
      <c r="G19" s="75" t="s">
        <v>50</v>
      </c>
      <c r="H19" s="194" t="s">
        <v>572</v>
      </c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3"/>
      <c r="U19" s="38"/>
      <c r="V19" s="38"/>
    </row>
    <row r="20" spans="1:22" ht="17.100000000000001" customHeight="1" x14ac:dyDescent="0.25">
      <c r="A20" s="67" t="s">
        <v>53</v>
      </c>
      <c r="B20" s="76"/>
      <c r="C20" s="76"/>
      <c r="D20" s="76">
        <v>1400</v>
      </c>
      <c r="E20" s="76">
        <v>1900</v>
      </c>
      <c r="F20" s="76">
        <v>2300</v>
      </c>
      <c r="G20" s="76">
        <v>2650</v>
      </c>
      <c r="H20" s="19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38"/>
      <c r="U20" s="38"/>
      <c r="V20" s="38"/>
    </row>
    <row r="21" spans="1:22" ht="17.100000000000001" customHeight="1" x14ac:dyDescent="0.25">
      <c r="A21" s="67" t="s">
        <v>575</v>
      </c>
      <c r="B21" s="76"/>
      <c r="C21" s="76"/>
      <c r="D21" s="76">
        <v>255.49</v>
      </c>
      <c r="E21" s="76">
        <v>442.38</v>
      </c>
      <c r="F21" s="76">
        <v>541.96</v>
      </c>
      <c r="G21" s="76">
        <v>746.27</v>
      </c>
      <c r="H21" s="191">
        <v>935.48</v>
      </c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38"/>
      <c r="U21" s="38"/>
      <c r="V21" s="38"/>
    </row>
    <row r="22" spans="1:22" ht="17.100000000000001" customHeight="1" x14ac:dyDescent="0.25">
      <c r="A22" s="57"/>
      <c r="B22" s="77"/>
      <c r="C22" s="77"/>
      <c r="D22" s="77"/>
      <c r="E22" s="75"/>
      <c r="F22" s="75"/>
      <c r="G22" s="75"/>
      <c r="H22" s="70"/>
      <c r="I22" s="71"/>
      <c r="J22" s="71"/>
      <c r="K22" s="71"/>
      <c r="L22" s="72"/>
      <c r="M22" s="73"/>
      <c r="N22" s="73"/>
      <c r="O22" s="73"/>
      <c r="P22" s="73"/>
      <c r="Q22" s="73"/>
      <c r="R22" s="72"/>
      <c r="S22" s="73"/>
    </row>
    <row r="23" spans="1:22" s="39" customFormat="1" ht="17.100000000000001" customHeight="1" x14ac:dyDescent="0.25">
      <c r="A23" s="67" t="s">
        <v>51</v>
      </c>
      <c r="B23" s="76"/>
      <c r="C23" s="76"/>
      <c r="D23" s="76">
        <v>78</v>
      </c>
      <c r="E23" s="76">
        <v>93</v>
      </c>
      <c r="F23" s="76">
        <v>79</v>
      </c>
      <c r="G23" s="76">
        <v>60</v>
      </c>
      <c r="H23" s="72">
        <v>43</v>
      </c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</row>
    <row r="24" spans="1:22" s="39" customFormat="1" ht="17.100000000000001" customHeight="1" x14ac:dyDescent="0.25">
      <c r="A24" s="67" t="s">
        <v>52</v>
      </c>
      <c r="B24" s="76"/>
      <c r="C24" s="76"/>
      <c r="D24" s="76">
        <v>452</v>
      </c>
      <c r="E24" s="76">
        <v>411</v>
      </c>
      <c r="F24" s="76">
        <v>532</v>
      </c>
      <c r="G24" s="76">
        <v>555</v>
      </c>
      <c r="H24" s="72">
        <v>277</v>
      </c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</row>
    <row r="25" spans="1:22" s="39" customFormat="1" ht="17.100000000000001" customHeight="1" x14ac:dyDescent="0.25">
      <c r="A25" s="67" t="s">
        <v>54</v>
      </c>
      <c r="B25" s="76"/>
      <c r="C25" s="76"/>
      <c r="D25" s="76">
        <v>1320</v>
      </c>
      <c r="E25" s="76">
        <v>1240</v>
      </c>
      <c r="F25" s="76">
        <v>1520</v>
      </c>
      <c r="G25" s="76">
        <v>1310</v>
      </c>
      <c r="H25" s="72">
        <v>770</v>
      </c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</row>
    <row r="26" spans="1:22" s="39" customFormat="1" ht="17.100000000000001" customHeight="1" x14ac:dyDescent="0.25">
      <c r="A26" s="67" t="s">
        <v>55</v>
      </c>
      <c r="B26" s="76"/>
      <c r="C26" s="76"/>
      <c r="D26" s="76">
        <v>550</v>
      </c>
      <c r="E26" s="76">
        <v>710</v>
      </c>
      <c r="F26" s="76">
        <v>990</v>
      </c>
      <c r="G26" s="76">
        <v>870</v>
      </c>
      <c r="H26" s="72">
        <v>440</v>
      </c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</row>
    <row r="27" spans="1:22" ht="17.100000000000001" customHeight="1" x14ac:dyDescent="0.25">
      <c r="A27" s="57" t="s">
        <v>573</v>
      </c>
      <c r="B27" s="75"/>
      <c r="C27" s="75"/>
      <c r="D27" s="75">
        <v>8000</v>
      </c>
      <c r="E27" s="75">
        <v>6190</v>
      </c>
      <c r="F27" s="75">
        <v>5425</v>
      </c>
      <c r="G27" s="75">
        <v>7001</v>
      </c>
      <c r="H27" s="72">
        <v>6982</v>
      </c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39"/>
      <c r="U27" s="38"/>
    </row>
    <row r="28" spans="1:22" s="39" customFormat="1" ht="17.100000000000001" customHeight="1" x14ac:dyDescent="0.25">
      <c r="A28" s="67" t="s">
        <v>56</v>
      </c>
      <c r="B28" s="76"/>
      <c r="C28" s="76"/>
      <c r="D28" s="76">
        <v>3100</v>
      </c>
      <c r="E28" s="76">
        <v>4120</v>
      </c>
      <c r="F28" s="76">
        <v>5070</v>
      </c>
      <c r="G28" s="76">
        <v>5650</v>
      </c>
      <c r="H28" s="72">
        <v>5840</v>
      </c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</row>
    <row r="29" spans="1:22" s="39" customFormat="1" ht="17.100000000000001" customHeight="1" x14ac:dyDescent="0.25">
      <c r="A29" s="67" t="s">
        <v>57</v>
      </c>
      <c r="B29" s="76"/>
      <c r="C29" s="76"/>
      <c r="D29" s="76">
        <v>1600</v>
      </c>
      <c r="E29" s="76">
        <v>2070</v>
      </c>
      <c r="F29" s="76">
        <v>2650</v>
      </c>
      <c r="G29" s="76">
        <v>3080</v>
      </c>
      <c r="H29" s="72">
        <v>3230</v>
      </c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</row>
    <row r="30" spans="1:22" ht="17.100000000000001" customHeight="1" x14ac:dyDescent="0.35">
      <c r="A30" s="61"/>
      <c r="B30" s="74"/>
      <c r="C30" s="74"/>
      <c r="D30" s="74"/>
      <c r="E30" s="74"/>
      <c r="F30" s="75"/>
      <c r="G30" s="75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38"/>
      <c r="U30" s="38"/>
    </row>
    <row r="31" spans="1:22" ht="17.100000000000001" hidden="1" customHeight="1" x14ac:dyDescent="0.25">
      <c r="A31" s="57" t="s">
        <v>41</v>
      </c>
      <c r="B31" s="74"/>
      <c r="C31" s="74"/>
      <c r="D31" s="74"/>
      <c r="E31" s="74"/>
      <c r="F31" s="74"/>
      <c r="G31" s="74">
        <v>0.28999999999999998</v>
      </c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38"/>
      <c r="U31" s="38"/>
    </row>
    <row r="32" spans="1:22" ht="17.100000000000001" hidden="1" customHeight="1" x14ac:dyDescent="0.25">
      <c r="A32" s="57" t="s">
        <v>40</v>
      </c>
      <c r="B32" s="74"/>
      <c r="C32" s="74"/>
      <c r="D32" s="74"/>
      <c r="E32" s="74"/>
      <c r="F32" s="74"/>
      <c r="G32" s="69">
        <f>G31/7.13</f>
        <v>4.067321178120617E-2</v>
      </c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38"/>
      <c r="U32" s="38"/>
    </row>
    <row r="33" spans="1:21" ht="17.100000000000001" hidden="1" customHeight="1" x14ac:dyDescent="0.35">
      <c r="A33" s="61"/>
      <c r="B33" s="74"/>
      <c r="C33" s="74"/>
      <c r="D33" s="74"/>
      <c r="E33" s="74"/>
      <c r="F33" s="75"/>
      <c r="G33" s="75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38"/>
      <c r="U33" s="38"/>
    </row>
    <row r="34" spans="1:21" ht="17.100000000000001" customHeight="1" x14ac:dyDescent="0.25">
      <c r="A34" s="67" t="s">
        <v>160</v>
      </c>
      <c r="B34" s="76"/>
      <c r="C34" s="76"/>
      <c r="D34" s="76">
        <v>472.39</v>
      </c>
      <c r="E34" s="76">
        <v>778.65</v>
      </c>
      <c r="F34" s="76">
        <v>1036.98</v>
      </c>
      <c r="G34" s="76">
        <v>1047.1500000000001</v>
      </c>
      <c r="H34" s="72">
        <v>1107</v>
      </c>
      <c r="I34" s="72"/>
      <c r="J34" s="72"/>
      <c r="K34" s="72"/>
      <c r="L34" s="72"/>
      <c r="M34" s="72"/>
      <c r="N34" s="72"/>
      <c r="O34" s="72"/>
      <c r="P34" s="72"/>
      <c r="Q34" s="71"/>
      <c r="R34" s="71"/>
      <c r="S34" s="71"/>
      <c r="T34" s="38"/>
      <c r="U34" s="38"/>
    </row>
    <row r="35" spans="1:21" ht="17.100000000000001" customHeight="1" x14ac:dyDescent="0.25">
      <c r="A35" s="67" t="s">
        <v>571</v>
      </c>
      <c r="B35" s="76"/>
      <c r="C35" s="76"/>
      <c r="D35" s="76">
        <f>32.54+50.93+34.73</f>
        <v>118.19999999999999</v>
      </c>
      <c r="E35" s="76">
        <f>42.64+36.46+45.78+9.08</f>
        <v>133.96</v>
      </c>
      <c r="F35" s="76">
        <f>51.25+40.07+85.16+31.9</f>
        <v>208.38</v>
      </c>
      <c r="G35" s="76">
        <f>29.6+77.61+43.4+36.37</f>
        <v>186.98000000000002</v>
      </c>
      <c r="H35" s="71">
        <f>43.31+58.94+38.4+55.01</f>
        <v>195.66</v>
      </c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38"/>
      <c r="U35" s="38"/>
    </row>
    <row r="36" spans="1:21" ht="17.100000000000001" customHeight="1" x14ac:dyDescent="0.25">
      <c r="A36" s="57" t="s">
        <v>61</v>
      </c>
      <c r="B36" s="75"/>
      <c r="C36" s="75"/>
      <c r="D36" s="75">
        <v>23.1</v>
      </c>
      <c r="E36" s="75">
        <v>43.88</v>
      </c>
      <c r="F36" s="75">
        <v>57.77</v>
      </c>
      <c r="G36" s="75">
        <v>65.36</v>
      </c>
      <c r="H36" s="71">
        <v>32.76</v>
      </c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38"/>
      <c r="U36" s="38"/>
    </row>
    <row r="37" spans="1:21" ht="17.100000000000001" customHeight="1" x14ac:dyDescent="0.25">
      <c r="A37" s="57" t="s">
        <v>39</v>
      </c>
      <c r="B37" s="75"/>
      <c r="C37" s="75"/>
      <c r="D37" s="75">
        <v>20.48</v>
      </c>
      <c r="E37" s="75">
        <v>40.19</v>
      </c>
      <c r="F37" s="75">
        <v>50.48</v>
      </c>
      <c r="G37" s="75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38"/>
      <c r="U37" s="38"/>
    </row>
    <row r="38" spans="1:21" s="198" customFormat="1" ht="17.100000000000001" customHeight="1" x14ac:dyDescent="0.25">
      <c r="A38" s="195" t="s">
        <v>16</v>
      </c>
      <c r="B38" s="196"/>
      <c r="C38" s="196"/>
      <c r="D38" s="196">
        <v>5.1999999999999998E-2</v>
      </c>
      <c r="E38" s="196">
        <v>5.8000000000000003E-2</v>
      </c>
      <c r="F38" s="196">
        <v>0.06</v>
      </c>
      <c r="G38" s="196">
        <v>5.3999999999999999E-2</v>
      </c>
      <c r="H38" s="197">
        <v>5.0999999999999997E-2</v>
      </c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</row>
    <row r="39" spans="1:21" ht="17.100000000000001" customHeight="1" x14ac:dyDescent="0.25">
      <c r="A39" s="57"/>
      <c r="B39" s="69"/>
      <c r="C39" s="69"/>
      <c r="D39" s="69"/>
      <c r="E39" s="69"/>
      <c r="F39" s="69"/>
      <c r="G39" s="69"/>
      <c r="H39" s="70"/>
      <c r="I39" s="71"/>
      <c r="J39" s="71"/>
      <c r="K39" s="71"/>
      <c r="L39" s="72"/>
      <c r="M39" s="73"/>
      <c r="N39" s="73"/>
      <c r="O39" s="73"/>
      <c r="P39" s="73"/>
      <c r="Q39" s="73"/>
      <c r="R39" s="72"/>
      <c r="S39" s="73"/>
    </row>
    <row r="40" spans="1:21" ht="17.100000000000001" customHeight="1" x14ac:dyDescent="0.25">
      <c r="A40" s="57" t="s">
        <v>58</v>
      </c>
      <c r="B40" s="75"/>
      <c r="C40" s="75"/>
      <c r="D40" s="75">
        <v>6.09</v>
      </c>
      <c r="E40" s="75">
        <v>11.53</v>
      </c>
      <c r="F40" s="75">
        <v>15.8</v>
      </c>
      <c r="G40" s="75">
        <v>20.67</v>
      </c>
      <c r="H40" s="71">
        <v>11.68</v>
      </c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38"/>
    </row>
    <row r="41" spans="1:21" ht="17.100000000000001" customHeight="1" x14ac:dyDescent="0.25">
      <c r="A41" s="57" t="s">
        <v>59</v>
      </c>
      <c r="B41" s="75"/>
      <c r="C41" s="75"/>
      <c r="D41" s="75">
        <v>12.67</v>
      </c>
      <c r="E41" s="75">
        <v>21.21</v>
      </c>
      <c r="F41" s="75">
        <v>31.48</v>
      </c>
      <c r="G41" s="75">
        <v>29.46</v>
      </c>
      <c r="H41" s="71">
        <v>17.399999999999999</v>
      </c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38"/>
    </row>
    <row r="42" spans="1:21" ht="17.100000000000001" customHeight="1" x14ac:dyDescent="0.25">
      <c r="A42" s="57"/>
      <c r="B42" s="75"/>
      <c r="C42" s="75"/>
      <c r="D42" s="75"/>
      <c r="E42" s="75"/>
      <c r="F42" s="75"/>
      <c r="G42" s="75"/>
      <c r="H42" s="70"/>
      <c r="I42" s="71"/>
      <c r="J42" s="71"/>
      <c r="K42" s="71"/>
      <c r="L42" s="72"/>
      <c r="M42" s="73"/>
      <c r="N42" s="73"/>
      <c r="O42" s="73"/>
      <c r="P42" s="73"/>
      <c r="Q42" s="73"/>
      <c r="R42" s="72"/>
      <c r="S42" s="73"/>
    </row>
    <row r="43" spans="1:21" s="198" customFormat="1" ht="17.100000000000001" customHeight="1" x14ac:dyDescent="0.25">
      <c r="A43" s="195" t="s">
        <v>17</v>
      </c>
      <c r="B43" s="196">
        <v>0.59199999999999997</v>
      </c>
      <c r="C43" s="196">
        <v>0.504</v>
      </c>
      <c r="D43" s="196">
        <v>0.50900000000000001</v>
      </c>
      <c r="E43" s="196">
        <v>0.67200000000000004</v>
      </c>
      <c r="F43" s="196">
        <v>0.65600000000000003</v>
      </c>
      <c r="G43" s="196">
        <v>0.64</v>
      </c>
      <c r="H43" s="197">
        <v>0.60399999999999998</v>
      </c>
      <c r="I43" s="197"/>
      <c r="J43" s="197"/>
      <c r="K43" s="197"/>
      <c r="L43" s="197"/>
      <c r="M43" s="197"/>
      <c r="N43" s="197"/>
      <c r="O43" s="197"/>
      <c r="P43" s="197"/>
      <c r="Q43" s="197"/>
      <c r="R43" s="197"/>
      <c r="S43" s="197"/>
    </row>
    <row r="44" spans="1:21" ht="17.100000000000001" customHeight="1" x14ac:dyDescent="0.35">
      <c r="A44" s="61" t="s">
        <v>599</v>
      </c>
      <c r="D44" s="71"/>
      <c r="E44" s="71"/>
      <c r="F44" s="73"/>
      <c r="G44" s="73"/>
      <c r="H44" s="70">
        <v>0.72099999999999997</v>
      </c>
      <c r="I44" s="71"/>
      <c r="J44" s="71"/>
      <c r="K44" s="71"/>
      <c r="L44" s="72"/>
      <c r="M44" s="73"/>
      <c r="N44" s="73"/>
      <c r="O44" s="73"/>
      <c r="P44" s="73"/>
      <c r="Q44" s="73"/>
      <c r="R44" s="72"/>
      <c r="S44" s="73"/>
    </row>
    <row r="45" spans="1:21" ht="17.100000000000001" customHeight="1" x14ac:dyDescent="0.35">
      <c r="A45" s="61" t="s">
        <v>595</v>
      </c>
      <c r="D45" s="71">
        <f>(D5-D6)/D35</f>
        <v>1.4764805414551609</v>
      </c>
      <c r="E45" s="71">
        <f t="shared" ref="E45:H45" si="1">(E5-E6)/E35</f>
        <v>3.2343983278590622</v>
      </c>
      <c r="F45" s="71">
        <f t="shared" si="1"/>
        <v>2.1746808714847874</v>
      </c>
      <c r="G45" s="71">
        <f t="shared" si="1"/>
        <v>2.0979249117552676</v>
      </c>
      <c r="H45" s="71">
        <f t="shared" si="1"/>
        <v>2.6732086272104669</v>
      </c>
      <c r="I45" s="71"/>
      <c r="J45" s="71"/>
      <c r="K45" s="71"/>
      <c r="L45" s="72"/>
      <c r="M45" s="73"/>
      <c r="N45" s="73"/>
      <c r="O45" s="73"/>
      <c r="P45" s="73"/>
      <c r="Q45" s="73"/>
      <c r="R45" s="72"/>
      <c r="S45" s="73"/>
    </row>
    <row r="46" spans="1:21" ht="17.100000000000001" customHeight="1" x14ac:dyDescent="0.35">
      <c r="D46" s="71"/>
      <c r="E46" s="71"/>
      <c r="F46" s="73"/>
      <c r="G46" s="73"/>
      <c r="H46" s="70"/>
      <c r="I46" s="71"/>
      <c r="J46" s="71"/>
      <c r="K46" s="71"/>
      <c r="L46" s="72"/>
      <c r="M46" s="73"/>
      <c r="N46" s="73"/>
      <c r="O46" s="73"/>
      <c r="P46" s="73"/>
      <c r="Q46" s="73"/>
      <c r="R46" s="72"/>
      <c r="S46" s="73"/>
    </row>
    <row r="47" spans="1:21" ht="17.100000000000001" customHeight="1" x14ac:dyDescent="0.35">
      <c r="D47" s="71"/>
      <c r="E47" s="71"/>
      <c r="F47" s="73"/>
      <c r="G47" s="73"/>
      <c r="H47" s="70"/>
      <c r="I47" s="71"/>
      <c r="J47" s="71"/>
      <c r="K47" s="71"/>
      <c r="L47" s="72"/>
      <c r="M47" s="73"/>
      <c r="N47" s="73"/>
      <c r="O47" s="73"/>
      <c r="P47" s="73"/>
      <c r="Q47" s="73"/>
      <c r="R47" s="72"/>
      <c r="S47" s="73"/>
    </row>
    <row r="48" spans="1:21" ht="17.100000000000001" customHeight="1" x14ac:dyDescent="0.35">
      <c r="D48" s="71"/>
      <c r="E48" s="71"/>
      <c r="F48" s="73"/>
      <c r="G48" s="73"/>
      <c r="H48" s="70"/>
      <c r="I48" s="71"/>
      <c r="J48" s="71"/>
      <c r="K48" s="71"/>
      <c r="L48" s="72"/>
      <c r="M48" s="73"/>
      <c r="N48" s="73"/>
      <c r="O48" s="73"/>
      <c r="P48" s="73"/>
      <c r="Q48" s="73"/>
      <c r="R48" s="72"/>
      <c r="S48" s="73"/>
    </row>
    <row r="49" spans="4:19" ht="17.100000000000001" customHeight="1" x14ac:dyDescent="0.35">
      <c r="D49" s="71"/>
      <c r="E49" s="71"/>
      <c r="F49" s="73"/>
      <c r="G49" s="73"/>
      <c r="H49" s="70"/>
      <c r="I49" s="71"/>
      <c r="J49" s="71"/>
      <c r="K49" s="71"/>
      <c r="L49" s="72"/>
      <c r="M49" s="73"/>
      <c r="N49" s="73"/>
      <c r="O49" s="73"/>
      <c r="P49" s="73"/>
      <c r="Q49" s="73"/>
      <c r="R49" s="72"/>
      <c r="S49" s="73"/>
    </row>
    <row r="50" spans="4:19" ht="17.100000000000001" customHeight="1" x14ac:dyDescent="0.35">
      <c r="D50" s="71"/>
      <c r="E50" s="71"/>
      <c r="F50" s="73"/>
      <c r="G50" s="73"/>
      <c r="H50" s="70"/>
      <c r="I50" s="71"/>
      <c r="J50" s="71"/>
      <c r="K50" s="71"/>
      <c r="L50" s="72"/>
      <c r="M50" s="73"/>
      <c r="N50" s="73"/>
      <c r="O50" s="73"/>
      <c r="P50" s="73"/>
      <c r="Q50" s="73"/>
      <c r="R50" s="72"/>
      <c r="S50" s="73"/>
    </row>
    <row r="51" spans="4:19" ht="17.100000000000001" customHeight="1" x14ac:dyDescent="0.35">
      <c r="D51" s="71"/>
      <c r="E51" s="71"/>
      <c r="F51" s="73"/>
      <c r="G51" s="73"/>
      <c r="H51" s="70"/>
      <c r="I51" s="71"/>
      <c r="J51" s="71"/>
      <c r="K51" s="71"/>
      <c r="L51" s="72"/>
      <c r="M51" s="73"/>
      <c r="N51" s="73"/>
      <c r="O51" s="73"/>
      <c r="P51" s="73"/>
      <c r="Q51" s="73"/>
      <c r="R51" s="72"/>
      <c r="S51" s="73"/>
    </row>
    <row r="52" spans="4:19" ht="17.100000000000001" customHeight="1" x14ac:dyDescent="0.35">
      <c r="D52" s="71"/>
      <c r="E52" s="71"/>
      <c r="F52" s="73"/>
      <c r="G52" s="73"/>
      <c r="H52" s="70"/>
      <c r="I52" s="71"/>
      <c r="J52" s="71"/>
      <c r="K52" s="71"/>
      <c r="L52" s="72"/>
      <c r="M52" s="73"/>
      <c r="N52" s="73"/>
      <c r="O52" s="73"/>
      <c r="P52" s="73"/>
      <c r="Q52" s="73"/>
      <c r="R52" s="72"/>
      <c r="S52" s="73"/>
    </row>
    <row r="53" spans="4:19" ht="17.100000000000001" customHeight="1" x14ac:dyDescent="0.35">
      <c r="D53" s="71"/>
      <c r="E53" s="71"/>
      <c r="F53" s="73"/>
      <c r="G53" s="73"/>
      <c r="H53" s="70"/>
      <c r="I53" s="71"/>
      <c r="J53" s="71"/>
      <c r="K53" s="71"/>
      <c r="L53" s="72"/>
      <c r="M53" s="73"/>
      <c r="N53" s="73"/>
      <c r="O53" s="73"/>
      <c r="P53" s="73"/>
      <c r="Q53" s="73"/>
      <c r="R53" s="72"/>
      <c r="S53" s="73"/>
    </row>
    <row r="54" spans="4:19" ht="17.100000000000001" customHeight="1" x14ac:dyDescent="0.35">
      <c r="D54" s="71"/>
      <c r="E54" s="71"/>
      <c r="F54" s="73"/>
      <c r="G54" s="73"/>
      <c r="H54" s="70"/>
      <c r="I54" s="71"/>
      <c r="J54" s="71"/>
      <c r="K54" s="71"/>
      <c r="L54" s="72"/>
      <c r="M54" s="73"/>
      <c r="N54" s="73"/>
      <c r="O54" s="73"/>
      <c r="P54" s="73"/>
      <c r="Q54" s="73"/>
      <c r="R54" s="72"/>
      <c r="S54" s="73"/>
    </row>
  </sheetData>
  <phoneticPr fontId="1" type="noConversion"/>
  <conditionalFormatting sqref="D17:XFD17 A17">
    <cfRule type="colorScale" priority="5">
      <colorScale>
        <cfvo type="min"/>
        <cfvo type="max"/>
        <color rgb="FFFFEF9C"/>
        <color rgb="FF63BE7B"/>
      </colorScale>
    </cfRule>
  </conditionalFormatting>
  <conditionalFormatting sqref="D25:XFD25 A25">
    <cfRule type="colorScale" priority="4">
      <colorScale>
        <cfvo type="min"/>
        <cfvo type="max"/>
        <color rgb="FFFFEF9C"/>
        <color rgb="FF63BE7B"/>
      </colorScale>
    </cfRule>
  </conditionalFormatting>
  <conditionalFormatting sqref="B17:C17">
    <cfRule type="colorScale" priority="3">
      <colorScale>
        <cfvo type="min"/>
        <cfvo type="max"/>
        <color rgb="FFFFEF9C"/>
        <color rgb="FF63BE7B"/>
      </colorScale>
    </cfRule>
  </conditionalFormatting>
  <conditionalFormatting sqref="B25:C25">
    <cfRule type="colorScale" priority="2">
      <colorScale>
        <cfvo type="min"/>
        <cfvo type="max"/>
        <color rgb="FFFFEF9C"/>
        <color rgb="FF63BE7B"/>
      </colorScale>
    </cfRule>
  </conditionalFormatting>
  <conditionalFormatting sqref="A13:XFD1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98ED-4BF0-4C5B-B5BA-7C61A9F6766E}">
  <dimension ref="A1:K46"/>
  <sheetViews>
    <sheetView workbookViewId="0">
      <pane ySplit="1" topLeftCell="A13" activePane="bottomLeft" state="frozen"/>
      <selection pane="bottomLeft" activeCell="N31" sqref="N31"/>
    </sheetView>
  </sheetViews>
  <sheetFormatPr defaultRowHeight="16.5" x14ac:dyDescent="0.35"/>
  <cols>
    <col min="1" max="1" width="22.5" style="61" customWidth="1"/>
    <col min="2" max="4" width="9" style="36" hidden="1" customWidth="1"/>
    <col min="5" max="5" width="0" style="36" hidden="1" customWidth="1"/>
    <col min="6" max="16384" width="9" style="36"/>
  </cols>
  <sheetData>
    <row r="1" spans="1:11" s="47" customFormat="1" ht="24" customHeight="1" x14ac:dyDescent="0.2">
      <c r="A1" s="55" t="s">
        <v>63</v>
      </c>
      <c r="B1" s="47" t="s">
        <v>64</v>
      </c>
      <c r="C1" s="47" t="s">
        <v>65</v>
      </c>
      <c r="D1" s="47" t="s">
        <v>66</v>
      </c>
      <c r="E1" s="47" t="s">
        <v>67</v>
      </c>
      <c r="F1" s="47" t="s">
        <v>68</v>
      </c>
      <c r="G1" s="47" t="s">
        <v>69</v>
      </c>
      <c r="H1" s="47" t="s">
        <v>70</v>
      </c>
      <c r="I1" s="47" t="s">
        <v>71</v>
      </c>
      <c r="J1" s="47" t="s">
        <v>72</v>
      </c>
      <c r="K1" s="182" t="s">
        <v>521</v>
      </c>
    </row>
    <row r="2" spans="1:11" s="43" customFormat="1" ht="18" customHeight="1" x14ac:dyDescent="0.2">
      <c r="A2" s="56" t="s">
        <v>413</v>
      </c>
      <c r="B2" s="43">
        <v>299.08999999999997</v>
      </c>
      <c r="C2" s="43">
        <v>369.84</v>
      </c>
      <c r="D2" s="43">
        <v>477.64</v>
      </c>
      <c r="E2" s="51">
        <v>551.24</v>
      </c>
      <c r="F2" s="51">
        <v>617.65</v>
      </c>
      <c r="G2" s="51">
        <v>705.66</v>
      </c>
      <c r="H2" s="51">
        <v>816.61</v>
      </c>
      <c r="I2" s="51">
        <v>939.56</v>
      </c>
      <c r="J2" s="51">
        <v>1083.44</v>
      </c>
      <c r="K2" s="43">
        <v>1097.02</v>
      </c>
    </row>
    <row r="3" spans="1:11" s="43" customFormat="1" ht="18" customHeight="1" x14ac:dyDescent="0.2">
      <c r="A3" s="56" t="s">
        <v>568</v>
      </c>
      <c r="B3" s="43">
        <v>26.68</v>
      </c>
      <c r="C3" s="43">
        <v>27.92</v>
      </c>
      <c r="D3" s="43">
        <v>25.08</v>
      </c>
      <c r="E3" s="51">
        <v>73.430000000000007</v>
      </c>
      <c r="F3" s="51">
        <v>133.5</v>
      </c>
      <c r="G3" s="51">
        <v>356.12</v>
      </c>
      <c r="H3" s="51">
        <v>591.57000000000005</v>
      </c>
      <c r="I3" s="51">
        <v>727.21</v>
      </c>
      <c r="J3" s="51">
        <v>843.8</v>
      </c>
      <c r="K3" s="43">
        <v>909.5</v>
      </c>
    </row>
    <row r="4" spans="1:11" s="184" customFormat="1" ht="18" customHeight="1" x14ac:dyDescent="0.2">
      <c r="A4" s="183" t="s">
        <v>524</v>
      </c>
      <c r="B4" s="184">
        <v>186.11</v>
      </c>
      <c r="C4" s="184">
        <v>146.76</v>
      </c>
      <c r="D4" s="184">
        <v>190.37</v>
      </c>
      <c r="E4" s="110">
        <v>181.6</v>
      </c>
      <c r="F4" s="110">
        <v>173.55</v>
      </c>
      <c r="G4" s="110">
        <v>267.61</v>
      </c>
      <c r="H4" s="110">
        <v>452.64</v>
      </c>
      <c r="I4" s="110">
        <v>609.5</v>
      </c>
      <c r="J4" s="110">
        <v>778.3</v>
      </c>
      <c r="K4" s="184">
        <v>994.7</v>
      </c>
    </row>
    <row r="5" spans="1:11" s="184" customFormat="1" ht="18" customHeight="1" x14ac:dyDescent="0.2">
      <c r="A5" s="183" t="s">
        <v>473</v>
      </c>
      <c r="E5" s="110"/>
      <c r="F5" s="110"/>
      <c r="G5" s="110"/>
      <c r="H5" s="110"/>
      <c r="I5" s="110"/>
      <c r="J5" s="110"/>
      <c r="K5" s="184">
        <v>281.10000000000002</v>
      </c>
    </row>
    <row r="6" spans="1:11" s="43" customFormat="1" ht="18" customHeight="1" x14ac:dyDescent="0.2">
      <c r="A6" s="56"/>
      <c r="E6" s="51"/>
      <c r="F6" s="51"/>
      <c r="G6" s="51"/>
      <c r="H6" s="51"/>
      <c r="I6" s="51"/>
      <c r="J6" s="51"/>
    </row>
    <row r="7" spans="1:11" s="50" customFormat="1" ht="18" customHeight="1" x14ac:dyDescent="0.2">
      <c r="A7" s="60" t="s">
        <v>536</v>
      </c>
      <c r="B7" s="50">
        <f t="shared" ref="B7:K7" si="0">B11/B2</f>
        <v>0.21067237286435522</v>
      </c>
      <c r="C7" s="50">
        <f t="shared" si="0"/>
        <v>0.21731018818948739</v>
      </c>
      <c r="D7" s="50">
        <f t="shared" si="0"/>
        <v>0.17490159953102757</v>
      </c>
      <c r="E7" s="50">
        <f t="shared" si="0"/>
        <v>0.16305057688121324</v>
      </c>
      <c r="F7" s="50">
        <f t="shared" si="0"/>
        <v>0.14819072290131952</v>
      </c>
      <c r="G7" s="50">
        <f t="shared" si="0"/>
        <v>0.17854207408667064</v>
      </c>
      <c r="H7" s="50">
        <f t="shared" si="0"/>
        <v>0.19883420482237543</v>
      </c>
      <c r="I7" s="50">
        <f t="shared" si="0"/>
        <v>0.19516582229979992</v>
      </c>
      <c r="J7" s="50">
        <f t="shared" si="0"/>
        <v>0.18459720889020156</v>
      </c>
      <c r="K7" s="50">
        <f t="shared" si="0"/>
        <v>6.7628666751745642E-2</v>
      </c>
    </row>
    <row r="8" spans="1:11" s="43" customFormat="1" ht="18" customHeight="1" x14ac:dyDescent="0.2">
      <c r="A8" s="56" t="s">
        <v>522</v>
      </c>
      <c r="B8" s="43">
        <v>278.93</v>
      </c>
      <c r="C8" s="43">
        <v>415.1</v>
      </c>
      <c r="D8" s="43">
        <v>509.91</v>
      </c>
      <c r="E8" s="51">
        <v>474.23</v>
      </c>
      <c r="F8" s="51">
        <v>547.99</v>
      </c>
      <c r="G8" s="51">
        <v>720.75</v>
      </c>
      <c r="H8" s="51">
        <v>1157.98</v>
      </c>
      <c r="I8" s="51">
        <v>1510.26</v>
      </c>
      <c r="J8" s="51">
        <v>1845.47</v>
      </c>
      <c r="K8" s="43">
        <v>606.20000000000005</v>
      </c>
    </row>
    <row r="9" spans="1:11" s="43" customFormat="1" ht="18" customHeight="1" x14ac:dyDescent="0.2">
      <c r="A9" s="56" t="s">
        <v>412</v>
      </c>
      <c r="B9" s="43">
        <v>26.68</v>
      </c>
      <c r="C9" s="43">
        <v>27.92</v>
      </c>
      <c r="D9" s="43">
        <v>25.08</v>
      </c>
      <c r="E9" s="51">
        <v>73.430000000000007</v>
      </c>
      <c r="F9" s="51">
        <v>133.5</v>
      </c>
      <c r="G9" s="51">
        <v>356.12</v>
      </c>
      <c r="H9" s="51">
        <v>591.55999999999995</v>
      </c>
      <c r="I9" s="51">
        <v>727.21</v>
      </c>
      <c r="J9" s="51">
        <v>843.8</v>
      </c>
      <c r="K9" s="43">
        <v>909.5</v>
      </c>
    </row>
    <row r="10" spans="1:11" s="43" customFormat="1" ht="18" customHeight="1" x14ac:dyDescent="0.2">
      <c r="A10" s="56" t="s">
        <v>523</v>
      </c>
      <c r="B10" s="50">
        <f>11183090/27892830</f>
        <v>0.40093063342801716</v>
      </c>
      <c r="C10" s="50">
        <f>11538208/41510167</f>
        <v>0.27796101133488577</v>
      </c>
      <c r="D10" s="50">
        <f>13515843/50990678</f>
        <v>0.265064979132068</v>
      </c>
      <c r="E10" s="54">
        <f>13014792/47423099</f>
        <v>0.27443993063380356</v>
      </c>
      <c r="F10" s="54">
        <f>15935381/54799495</f>
        <v>0.29079430385261762</v>
      </c>
      <c r="G10" s="54">
        <v>0.33900000000000002</v>
      </c>
      <c r="H10" s="54">
        <v>0.34100000000000003</v>
      </c>
      <c r="I10" s="54">
        <v>0.33600000000000002</v>
      </c>
      <c r="J10" s="54">
        <v>0.29299999999999998</v>
      </c>
      <c r="K10" s="50">
        <v>0.27700000000000002</v>
      </c>
    </row>
    <row r="11" spans="1:11" s="43" customFormat="1" ht="18" customHeight="1" x14ac:dyDescent="0.2">
      <c r="A11" s="57" t="s">
        <v>86</v>
      </c>
      <c r="B11" s="43">
        <v>63.01</v>
      </c>
      <c r="C11" s="43">
        <v>80.37</v>
      </c>
      <c r="D11" s="43">
        <v>83.54</v>
      </c>
      <c r="E11" s="51">
        <v>89.88</v>
      </c>
      <c r="F11" s="51">
        <v>91.53</v>
      </c>
      <c r="G11" s="51">
        <v>125.99</v>
      </c>
      <c r="H11" s="51">
        <v>162.37</v>
      </c>
      <c r="I11" s="51">
        <v>183.37</v>
      </c>
      <c r="J11" s="51">
        <v>200</v>
      </c>
      <c r="K11" s="43">
        <v>74.19</v>
      </c>
    </row>
    <row r="12" spans="1:11" s="43" customFormat="1" ht="18" customHeight="1" x14ac:dyDescent="0.2">
      <c r="A12" s="57" t="s">
        <v>525</v>
      </c>
      <c r="B12" s="43">
        <v>10.15</v>
      </c>
      <c r="C12" s="43">
        <v>25.21</v>
      </c>
      <c r="D12" s="43">
        <v>21.91</v>
      </c>
      <c r="E12" s="51">
        <v>24.4</v>
      </c>
      <c r="F12" s="51">
        <v>19.71</v>
      </c>
      <c r="G12" s="51">
        <v>44.2</v>
      </c>
      <c r="H12" s="51">
        <v>35.43</v>
      </c>
      <c r="I12" s="51">
        <v>35.93</v>
      </c>
      <c r="J12" s="51">
        <v>17.55</v>
      </c>
      <c r="K12" s="43">
        <v>22.59</v>
      </c>
    </row>
    <row r="13" spans="1:11" s="50" customFormat="1" ht="18" customHeight="1" x14ac:dyDescent="0.2">
      <c r="A13" s="176" t="s">
        <v>528</v>
      </c>
      <c r="B13" s="50">
        <f t="shared" ref="B13:K13" si="1">B11/B8</f>
        <v>0.22589897106800988</v>
      </c>
      <c r="C13" s="50">
        <f t="shared" si="1"/>
        <v>0.19361599614550712</v>
      </c>
      <c r="D13" s="50">
        <f t="shared" si="1"/>
        <v>0.16383283324508247</v>
      </c>
      <c r="E13" s="50">
        <f t="shared" si="1"/>
        <v>0.18952828796153764</v>
      </c>
      <c r="F13" s="50">
        <f t="shared" si="1"/>
        <v>0.16702859541232504</v>
      </c>
      <c r="G13" s="50">
        <f t="shared" si="1"/>
        <v>0.17480402358654179</v>
      </c>
      <c r="H13" s="50">
        <f t="shared" si="1"/>
        <v>0.14021831119708458</v>
      </c>
      <c r="I13" s="50">
        <f t="shared" si="1"/>
        <v>0.12141617999549746</v>
      </c>
      <c r="J13" s="50">
        <f t="shared" si="1"/>
        <v>0.10837347667531848</v>
      </c>
      <c r="K13" s="50">
        <f t="shared" si="1"/>
        <v>0.12238535136918507</v>
      </c>
    </row>
    <row r="14" spans="1:11" s="50" customFormat="1" ht="18" customHeight="1" x14ac:dyDescent="0.2">
      <c r="A14" s="176" t="s">
        <v>529</v>
      </c>
      <c r="B14" s="50">
        <f t="shared" ref="B14:K14" si="2">(B11-B12)/B8</f>
        <v>0.18950991288136809</v>
      </c>
      <c r="C14" s="50">
        <f t="shared" si="2"/>
        <v>0.13288364249578416</v>
      </c>
      <c r="D14" s="50">
        <f t="shared" si="2"/>
        <v>0.12086446627836286</v>
      </c>
      <c r="E14" s="50">
        <f t="shared" si="2"/>
        <v>0.13807646078906857</v>
      </c>
      <c r="F14" s="50">
        <f t="shared" si="2"/>
        <v>0.13106078578076241</v>
      </c>
      <c r="G14" s="50">
        <f t="shared" si="2"/>
        <v>0.11347901491501906</v>
      </c>
      <c r="H14" s="50">
        <f t="shared" si="2"/>
        <v>0.10962192783985907</v>
      </c>
      <c r="I14" s="50">
        <f t="shared" si="2"/>
        <v>9.7625574404407181E-2</v>
      </c>
      <c r="J14" s="50">
        <f t="shared" si="2"/>
        <v>9.8863704097059274E-2</v>
      </c>
      <c r="K14" s="50">
        <f t="shared" si="2"/>
        <v>8.5120422302870327E-2</v>
      </c>
    </row>
    <row r="15" spans="1:11" s="48" customFormat="1" ht="18" customHeight="1" x14ac:dyDescent="0.2">
      <c r="A15" s="58" t="s">
        <v>527</v>
      </c>
      <c r="B15" s="48">
        <v>0.19400000000000001</v>
      </c>
      <c r="C15" s="48">
        <v>0.15</v>
      </c>
      <c r="D15" s="48">
        <v>0.13</v>
      </c>
      <c r="E15" s="52">
        <v>0.14599999999999999</v>
      </c>
      <c r="F15" s="52">
        <v>0.14199999999999999</v>
      </c>
      <c r="G15" s="52">
        <v>0.13600000000000001</v>
      </c>
      <c r="H15" s="52">
        <v>0.111</v>
      </c>
      <c r="I15" s="52">
        <v>0.10299999999999999</v>
      </c>
      <c r="J15" s="52">
        <v>0.10100000000000001</v>
      </c>
      <c r="K15" s="48">
        <v>0.10199999999999999</v>
      </c>
    </row>
    <row r="16" spans="1:11" s="49" customFormat="1" ht="18" customHeight="1" x14ac:dyDescent="0.2">
      <c r="A16" s="59" t="s">
        <v>89</v>
      </c>
      <c r="D16" s="49">
        <v>0.25</v>
      </c>
      <c r="E16" s="53">
        <v>0.3</v>
      </c>
      <c r="F16" s="53">
        <v>0.35</v>
      </c>
      <c r="G16" s="53">
        <v>0.4</v>
      </c>
      <c r="H16" s="53">
        <v>0.45</v>
      </c>
      <c r="I16" s="53"/>
      <c r="J16" s="53">
        <v>0.46500000000000002</v>
      </c>
    </row>
    <row r="17" spans="1:11" s="50" customFormat="1" ht="18" customHeight="1" x14ac:dyDescent="0.2">
      <c r="A17" s="60" t="s">
        <v>90</v>
      </c>
      <c r="B17" s="50">
        <v>0.39700000000000002</v>
      </c>
      <c r="C17" s="50">
        <v>0.27</v>
      </c>
      <c r="D17" s="50">
        <v>0.25700000000000001</v>
      </c>
      <c r="E17" s="54">
        <v>0.26200000000000001</v>
      </c>
      <c r="F17" s="54">
        <v>0.27600000000000002</v>
      </c>
      <c r="G17" s="54">
        <v>0.33800000000000002</v>
      </c>
      <c r="H17" s="54">
        <v>0.33200000000000002</v>
      </c>
      <c r="I17" s="54">
        <v>0.32100000000000001</v>
      </c>
      <c r="J17" s="54">
        <v>0.27300000000000002</v>
      </c>
      <c r="K17" s="50">
        <v>0.23400000000000001</v>
      </c>
    </row>
    <row r="18" spans="1:11" s="50" customFormat="1" ht="18" customHeight="1" x14ac:dyDescent="0.2">
      <c r="A18" s="60"/>
      <c r="E18" s="54"/>
      <c r="F18" s="54"/>
      <c r="G18" s="54"/>
      <c r="H18" s="54"/>
      <c r="I18" s="54"/>
      <c r="J18" s="54"/>
    </row>
    <row r="19" spans="1:11" s="43" customFormat="1" ht="18" customHeight="1" x14ac:dyDescent="0.2">
      <c r="A19" s="56" t="s">
        <v>73</v>
      </c>
      <c r="B19" s="43">
        <v>401.3</v>
      </c>
      <c r="C19" s="43">
        <v>481.2</v>
      </c>
      <c r="D19" s="43">
        <v>490.5</v>
      </c>
      <c r="E19" s="51">
        <v>545.4</v>
      </c>
      <c r="F19" s="51">
        <v>881.4</v>
      </c>
      <c r="G19" s="51">
        <v>1560.8</v>
      </c>
      <c r="H19" s="51">
        <v>2006.4</v>
      </c>
      <c r="I19" s="51">
        <v>2425</v>
      </c>
      <c r="J19" s="51">
        <v>2706.1</v>
      </c>
      <c r="K19" s="43">
        <v>1426.3</v>
      </c>
    </row>
    <row r="20" spans="1:11" s="43" customFormat="1" ht="18" customHeight="1" x14ac:dyDescent="0.2">
      <c r="A20" s="56" t="s">
        <v>74</v>
      </c>
      <c r="B20" s="43">
        <v>417.96</v>
      </c>
      <c r="C20" s="43">
        <v>426.12</v>
      </c>
      <c r="D20" s="43">
        <v>454.02</v>
      </c>
      <c r="E20" s="51">
        <v>425.29</v>
      </c>
      <c r="F20" s="51">
        <v>602.01</v>
      </c>
      <c r="G20" s="51">
        <v>1016.7</v>
      </c>
      <c r="H20" s="51">
        <v>1236.3</v>
      </c>
      <c r="I20" s="51">
        <v>1424</v>
      </c>
      <c r="J20" s="51">
        <v>1616.2</v>
      </c>
      <c r="K20" s="43">
        <v>826</v>
      </c>
    </row>
    <row r="21" spans="1:11" s="43" customFormat="1" ht="18" customHeight="1" x14ac:dyDescent="0.2">
      <c r="A21" s="56" t="s">
        <v>85</v>
      </c>
      <c r="B21" s="43">
        <v>9603</v>
      </c>
      <c r="C21" s="43">
        <v>11293</v>
      </c>
      <c r="D21" s="43">
        <v>10803</v>
      </c>
      <c r="E21" s="51">
        <v>12825</v>
      </c>
      <c r="F21" s="51">
        <v>14642</v>
      </c>
      <c r="G21" s="51">
        <v>15352</v>
      </c>
      <c r="H21" s="51">
        <v>16229</v>
      </c>
      <c r="I21" s="51">
        <v>17032</v>
      </c>
      <c r="J21" s="51">
        <v>16744</v>
      </c>
      <c r="K21" s="43">
        <v>17272</v>
      </c>
    </row>
    <row r="22" spans="1:11" s="43" customFormat="1" ht="18" customHeight="1" x14ac:dyDescent="0.2">
      <c r="A22" s="56"/>
      <c r="E22" s="51"/>
      <c r="F22" s="51"/>
      <c r="G22" s="51"/>
      <c r="H22" s="51"/>
      <c r="I22" s="51"/>
      <c r="J22" s="51"/>
    </row>
    <row r="23" spans="1:11" s="43" customFormat="1" ht="18" customHeight="1" x14ac:dyDescent="0.2">
      <c r="A23" s="56" t="s">
        <v>79</v>
      </c>
      <c r="B23" s="43">
        <v>891</v>
      </c>
      <c r="C23" s="43">
        <v>559</v>
      </c>
      <c r="D23" s="43">
        <v>311</v>
      </c>
      <c r="E23" s="51">
        <v>583</v>
      </c>
      <c r="F23" s="51">
        <v>1255</v>
      </c>
      <c r="G23" s="51">
        <v>2023</v>
      </c>
      <c r="H23" s="51">
        <v>2189</v>
      </c>
      <c r="I23" s="51">
        <v>1731</v>
      </c>
      <c r="J23" s="51">
        <v>2567</v>
      </c>
      <c r="K23" s="43">
        <v>1292</v>
      </c>
    </row>
    <row r="24" spans="1:11" s="43" customFormat="1" ht="18" customHeight="1" x14ac:dyDescent="0.2">
      <c r="A24" s="56" t="s">
        <v>80</v>
      </c>
      <c r="E24" s="51"/>
      <c r="F24" s="51"/>
      <c r="G24" s="51">
        <v>1149</v>
      </c>
      <c r="H24" s="51">
        <v>1372</v>
      </c>
      <c r="I24" s="51">
        <v>1273</v>
      </c>
      <c r="J24" s="51">
        <v>1847</v>
      </c>
      <c r="K24" s="43">
        <v>723</v>
      </c>
    </row>
    <row r="25" spans="1:11" s="43" customFormat="1" ht="18" hidden="1" customHeight="1" x14ac:dyDescent="0.2">
      <c r="A25" s="56" t="s">
        <v>81</v>
      </c>
      <c r="B25" s="43">
        <v>8.72E-2</v>
      </c>
      <c r="C25" s="43">
        <v>0.13</v>
      </c>
      <c r="E25" s="51"/>
      <c r="F25" s="51"/>
      <c r="G25" s="51"/>
      <c r="H25" s="51"/>
      <c r="I25" s="51"/>
      <c r="J25" s="51"/>
    </row>
    <row r="26" spans="1:11" s="43" customFormat="1" ht="18" customHeight="1" x14ac:dyDescent="0.2">
      <c r="A26" s="56" t="s">
        <v>82</v>
      </c>
      <c r="B26" s="43">
        <v>2479</v>
      </c>
      <c r="C26" s="43">
        <v>3120</v>
      </c>
      <c r="D26" s="43">
        <v>6785</v>
      </c>
      <c r="E26" s="51">
        <v>7469</v>
      </c>
      <c r="F26" s="51">
        <v>6329</v>
      </c>
      <c r="G26" s="51">
        <v>6445</v>
      </c>
      <c r="H26" s="51">
        <v>5297</v>
      </c>
      <c r="I26" s="51">
        <v>6186</v>
      </c>
      <c r="J26" s="51">
        <v>5687</v>
      </c>
      <c r="K26" s="43">
        <v>5382</v>
      </c>
    </row>
    <row r="27" spans="1:11" s="43" customFormat="1" ht="18" customHeight="1" x14ac:dyDescent="0.2">
      <c r="A27" s="56"/>
      <c r="E27" s="51"/>
      <c r="F27" s="51"/>
      <c r="G27" s="51"/>
      <c r="H27" s="51"/>
      <c r="I27" s="51"/>
      <c r="J27" s="51"/>
    </row>
    <row r="28" spans="1:11" s="43" customFormat="1" ht="18" customHeight="1" x14ac:dyDescent="0.2">
      <c r="A28" s="56" t="s">
        <v>562</v>
      </c>
      <c r="B28" s="43">
        <v>545</v>
      </c>
      <c r="C28" s="43">
        <v>575</v>
      </c>
      <c r="D28" s="43">
        <v>520</v>
      </c>
      <c r="E28" s="51">
        <v>553</v>
      </c>
      <c r="F28" s="51">
        <v>737</v>
      </c>
      <c r="G28" s="51">
        <v>852</v>
      </c>
      <c r="H28" s="51">
        <v>1951</v>
      </c>
      <c r="I28" s="51">
        <v>2535</v>
      </c>
      <c r="J28" s="51">
        <v>3107</v>
      </c>
      <c r="K28" s="43">
        <v>3753</v>
      </c>
    </row>
    <row r="29" spans="1:11" s="43" customFormat="1" ht="18" customHeight="1" x14ac:dyDescent="0.2">
      <c r="A29" s="56" t="s">
        <v>75</v>
      </c>
      <c r="B29" s="43">
        <v>518</v>
      </c>
      <c r="C29" s="43">
        <v>504</v>
      </c>
      <c r="D29" s="43">
        <v>482</v>
      </c>
      <c r="E29" s="51">
        <v>400</v>
      </c>
      <c r="F29" s="51">
        <v>476</v>
      </c>
      <c r="G29" s="51">
        <v>1342</v>
      </c>
      <c r="H29" s="51">
        <v>1174</v>
      </c>
      <c r="I29" s="51">
        <v>1500</v>
      </c>
      <c r="J29" s="51">
        <v>1800</v>
      </c>
      <c r="K29" s="43">
        <v>2200</v>
      </c>
    </row>
    <row r="30" spans="1:11" s="43" customFormat="1" ht="18" customHeight="1" x14ac:dyDescent="0.2">
      <c r="A30" s="56" t="s">
        <v>76</v>
      </c>
      <c r="B30" s="43">
        <v>3952</v>
      </c>
      <c r="C30" s="43">
        <v>3949</v>
      </c>
      <c r="D30" s="43">
        <v>3492</v>
      </c>
      <c r="E30" s="51">
        <v>3486</v>
      </c>
      <c r="F30" s="51">
        <v>4147</v>
      </c>
      <c r="G30" s="51">
        <v>5458</v>
      </c>
      <c r="H30" s="51">
        <v>6636</v>
      </c>
      <c r="I30" s="51">
        <v>6814</v>
      </c>
      <c r="J30" s="51">
        <v>7400</v>
      </c>
      <c r="K30" s="43">
        <v>7717</v>
      </c>
    </row>
    <row r="31" spans="1:11" s="43" customFormat="1" ht="18" customHeight="1" x14ac:dyDescent="0.2">
      <c r="A31" s="56" t="s">
        <v>77</v>
      </c>
      <c r="B31" s="43">
        <v>3582</v>
      </c>
      <c r="C31" s="43">
        <v>3576</v>
      </c>
      <c r="D31" s="43">
        <v>3284</v>
      </c>
      <c r="E31" s="51">
        <v>3054</v>
      </c>
      <c r="F31" s="51">
        <v>3294</v>
      </c>
      <c r="G31" s="51">
        <v>3900</v>
      </c>
      <c r="H31" s="51">
        <v>4559</v>
      </c>
      <c r="I31" s="51">
        <v>4742</v>
      </c>
      <c r="J31" s="51">
        <v>5279</v>
      </c>
      <c r="K31" s="43">
        <v>5367</v>
      </c>
    </row>
    <row r="32" spans="1:11" s="43" customFormat="1" ht="18" customHeight="1" x14ac:dyDescent="0.2">
      <c r="A32" s="56" t="s">
        <v>78</v>
      </c>
      <c r="B32" s="43">
        <v>1964</v>
      </c>
      <c r="C32" s="43">
        <v>2050</v>
      </c>
      <c r="D32" s="43">
        <v>2363</v>
      </c>
      <c r="E32" s="51">
        <v>3165</v>
      </c>
      <c r="F32" s="51">
        <v>4039</v>
      </c>
      <c r="G32" s="51">
        <v>5032</v>
      </c>
      <c r="H32" s="51">
        <v>5218</v>
      </c>
      <c r="I32" s="51">
        <v>5737</v>
      </c>
      <c r="J32" s="51">
        <v>5569</v>
      </c>
      <c r="K32" s="43">
        <v>5323</v>
      </c>
    </row>
    <row r="33" spans="1:11" s="43" customFormat="1" ht="18" customHeight="1" x14ac:dyDescent="0.2">
      <c r="A33" s="56"/>
      <c r="E33" s="51"/>
      <c r="F33" s="51"/>
      <c r="G33" s="51"/>
      <c r="H33" s="51"/>
      <c r="I33" s="51"/>
      <c r="J33" s="51"/>
    </row>
    <row r="34" spans="1:11" s="43" customFormat="1" ht="18" customHeight="1" x14ac:dyDescent="0.2">
      <c r="A34" s="56" t="s">
        <v>83</v>
      </c>
      <c r="B34" s="43">
        <v>328.4</v>
      </c>
      <c r="C34" s="43">
        <v>377</v>
      </c>
      <c r="D34" s="43">
        <v>477.4</v>
      </c>
      <c r="E34" s="51">
        <v>522.70000000000005</v>
      </c>
      <c r="F34" s="51">
        <v>578.70000000000005</v>
      </c>
      <c r="G34" s="51">
        <v>774</v>
      </c>
      <c r="H34" s="51">
        <v>1198.2</v>
      </c>
      <c r="I34" s="51">
        <v>1460</v>
      </c>
      <c r="J34" s="51">
        <v>1673.7</v>
      </c>
      <c r="K34" s="43">
        <v>1918.2</v>
      </c>
    </row>
    <row r="35" spans="1:11" s="43" customFormat="1" ht="18" customHeight="1" x14ac:dyDescent="0.2">
      <c r="A35" s="56" t="s">
        <v>534</v>
      </c>
      <c r="B35" s="43">
        <v>51.09</v>
      </c>
      <c r="C35" s="43">
        <v>90.67</v>
      </c>
      <c r="D35" s="43">
        <v>79.72</v>
      </c>
      <c r="E35" s="51">
        <v>61.78</v>
      </c>
      <c r="F35" s="51">
        <v>53.33</v>
      </c>
      <c r="G35" s="51">
        <f>36.11+19.78</f>
        <v>55.89</v>
      </c>
      <c r="H35" s="51">
        <v>117.4</v>
      </c>
      <c r="I35" s="51">
        <v>139.30000000000001</v>
      </c>
      <c r="J35" s="51">
        <v>183.4</v>
      </c>
      <c r="K35" s="43">
        <v>181.4</v>
      </c>
    </row>
    <row r="36" spans="1:11" s="43" customFormat="1" ht="18" customHeight="1" x14ac:dyDescent="0.2">
      <c r="A36" s="56" t="s">
        <v>87</v>
      </c>
      <c r="E36" s="51"/>
      <c r="F36" s="51"/>
      <c r="G36" s="51">
        <v>34.06</v>
      </c>
      <c r="H36" s="51">
        <v>48.97</v>
      </c>
      <c r="I36" s="51">
        <v>65.87</v>
      </c>
      <c r="J36" s="51">
        <v>79.78</v>
      </c>
    </row>
    <row r="37" spans="1:11" s="43" customFormat="1" ht="18" customHeight="1" x14ac:dyDescent="0.2">
      <c r="A37" s="56" t="s">
        <v>88</v>
      </c>
      <c r="E37" s="51"/>
      <c r="F37" s="51"/>
      <c r="G37" s="51">
        <v>33.6</v>
      </c>
      <c r="H37" s="51">
        <v>48.23</v>
      </c>
      <c r="I37" s="51">
        <v>65.11</v>
      </c>
      <c r="J37" s="51">
        <v>78.72</v>
      </c>
    </row>
    <row r="38" spans="1:11" s="43" customFormat="1" ht="18" customHeight="1" x14ac:dyDescent="0.2">
      <c r="A38" s="56" t="s">
        <v>84</v>
      </c>
      <c r="B38" s="50">
        <v>6.7199999999999996E-2</v>
      </c>
      <c r="C38" s="50">
        <v>6.5799999999999997E-2</v>
      </c>
      <c r="D38" s="50">
        <v>6.4000000000000001E-2</v>
      </c>
      <c r="E38" s="54">
        <v>5.74E-2</v>
      </c>
      <c r="F38" s="54">
        <v>4.9200000000000001E-2</v>
      </c>
      <c r="G38" s="54">
        <v>4.4999999999999998E-2</v>
      </c>
      <c r="H38" s="54">
        <v>4.5499999999999999E-2</v>
      </c>
      <c r="I38" s="54">
        <v>4.5400000000000003E-2</v>
      </c>
      <c r="J38" s="54">
        <v>4.3900000000000002E-2</v>
      </c>
      <c r="K38" s="50">
        <v>4.2099999999999999E-2</v>
      </c>
    </row>
    <row r="39" spans="1:11" s="43" customFormat="1" ht="18" customHeight="1" x14ac:dyDescent="0.2">
      <c r="A39" s="56" t="s">
        <v>526</v>
      </c>
      <c r="E39" s="51"/>
      <c r="F39" s="51">
        <v>439.91</v>
      </c>
      <c r="G39" s="51">
        <v>932.17</v>
      </c>
      <c r="H39" s="51">
        <v>1134.4000000000001</v>
      </c>
      <c r="I39" s="51">
        <v>1551.56</v>
      </c>
      <c r="J39" s="51">
        <v>1823.89</v>
      </c>
      <c r="K39" s="43">
        <v>2408.77</v>
      </c>
    </row>
    <row r="41" spans="1:11" s="43" customFormat="1" ht="18" customHeight="1" x14ac:dyDescent="0.2">
      <c r="A41" s="56" t="s">
        <v>91</v>
      </c>
      <c r="E41" s="51">
        <v>10.17</v>
      </c>
      <c r="F41" s="51">
        <v>14.27</v>
      </c>
      <c r="G41" s="51">
        <v>17.96</v>
      </c>
      <c r="H41" s="51">
        <v>31.93</v>
      </c>
      <c r="I41" s="51">
        <v>40.340000000000003</v>
      </c>
      <c r="J41" s="51">
        <v>50.33</v>
      </c>
      <c r="K41" s="43">
        <v>23.32</v>
      </c>
    </row>
    <row r="42" spans="1:11" s="43" customFormat="1" ht="18" customHeight="1" x14ac:dyDescent="0.2">
      <c r="A42" s="56" t="s">
        <v>92</v>
      </c>
      <c r="E42" s="51">
        <v>14.35</v>
      </c>
      <c r="F42" s="51">
        <v>20.22</v>
      </c>
      <c r="G42" s="51">
        <v>32.67</v>
      </c>
      <c r="H42" s="51">
        <v>53.96</v>
      </c>
      <c r="I42" s="51">
        <v>65.2</v>
      </c>
      <c r="J42" s="51">
        <v>72.94</v>
      </c>
      <c r="K42" s="43">
        <v>46.89</v>
      </c>
    </row>
    <row r="44" spans="1:11" s="96" customFormat="1" ht="18" customHeight="1" x14ac:dyDescent="0.2">
      <c r="A44" s="98" t="s">
        <v>535</v>
      </c>
      <c r="B44" s="106">
        <f t="shared" ref="B44:J44" si="3">B4/B35</f>
        <v>3.6427872382070854</v>
      </c>
      <c r="C44" s="106">
        <f t="shared" si="3"/>
        <v>1.6186169626116687</v>
      </c>
      <c r="D44" s="106">
        <f t="shared" si="3"/>
        <v>2.3879829402910189</v>
      </c>
      <c r="E44" s="106">
        <f t="shared" si="3"/>
        <v>2.9394626092586598</v>
      </c>
      <c r="F44" s="106">
        <f t="shared" si="3"/>
        <v>3.2542658916182265</v>
      </c>
      <c r="G44" s="106">
        <f t="shared" si="3"/>
        <v>4.7881553050635182</v>
      </c>
      <c r="H44" s="106">
        <f t="shared" si="3"/>
        <v>3.8555366269165243</v>
      </c>
      <c r="I44" s="106">
        <f t="shared" si="3"/>
        <v>4.3754486719310837</v>
      </c>
      <c r="J44" s="106">
        <f t="shared" si="3"/>
        <v>4.2437295528898575</v>
      </c>
      <c r="K44" s="106">
        <f>(K4)/K35</f>
        <v>5.4834619625137817</v>
      </c>
    </row>
    <row r="45" spans="1:11" x14ac:dyDescent="0.35">
      <c r="A45" s="61" t="s">
        <v>411</v>
      </c>
      <c r="B45" s="37"/>
      <c r="C45" s="37">
        <v>0.57899999999999996</v>
      </c>
      <c r="D45" s="37">
        <v>0.57099999999999995</v>
      </c>
      <c r="E45" s="37">
        <v>0.54600000000000004</v>
      </c>
      <c r="F45" s="37">
        <v>0.53900000000000003</v>
      </c>
      <c r="G45" s="37">
        <v>0.47699999999999998</v>
      </c>
      <c r="H45" s="37">
        <v>0.52900000000000003</v>
      </c>
      <c r="I45" s="46">
        <v>0.51</v>
      </c>
      <c r="J45" s="37">
        <v>0.46500000000000002</v>
      </c>
      <c r="K45" s="46">
        <v>0.46</v>
      </c>
    </row>
    <row r="46" spans="1:11" x14ac:dyDescent="0.35">
      <c r="A46" s="61" t="s">
        <v>268</v>
      </c>
      <c r="K46" s="37">
        <v>0.68300000000000005</v>
      </c>
    </row>
  </sheetData>
  <phoneticPr fontId="1" type="noConversion"/>
  <conditionalFormatting sqref="A23:XFD23">
    <cfRule type="colorScale" priority="8">
      <colorScale>
        <cfvo type="min"/>
        <cfvo type="max"/>
        <color rgb="FFFFEF9C"/>
        <color rgb="FF63BE7B"/>
      </colorScale>
    </cfRule>
  </conditionalFormatting>
  <conditionalFormatting sqref="A14:XFD14">
    <cfRule type="colorScale" priority="5">
      <colorScale>
        <cfvo type="min"/>
        <cfvo type="max"/>
        <color rgb="FFFFEF9C"/>
        <color rgb="FF63BE7B"/>
      </colorScale>
    </cfRule>
  </conditionalFormatting>
  <conditionalFormatting sqref="A44:XFD44">
    <cfRule type="colorScale" priority="4">
      <colorScale>
        <cfvo type="min"/>
        <cfvo type="max"/>
        <color rgb="FFFFEF9C"/>
        <color rgb="FF63BE7B"/>
      </colorScale>
    </cfRule>
  </conditionalFormatting>
  <conditionalFormatting sqref="A35:XFD35">
    <cfRule type="colorScale" priority="3">
      <colorScale>
        <cfvo type="min"/>
        <cfvo type="max"/>
        <color rgb="FF63BE7B"/>
        <color rgb="FFFFEF9C"/>
      </colorScale>
    </cfRule>
  </conditionalFormatting>
  <conditionalFormatting sqref="A7:XFD7">
    <cfRule type="colorScale" priority="1">
      <colorScale>
        <cfvo type="min"/>
        <cfvo type="max"/>
        <color rgb="FFFFEF9C"/>
        <color rgb="FF63BE7B"/>
      </colorScale>
    </cfRule>
  </conditionalFormatting>
  <conditionalFormatting sqref="A17:XFD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XFD22 A20:XFD20 A27:XFD27">
    <cfRule type="colorScale" priority="1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32A0-16EE-4D02-B62B-0CBC6A74C1DC}">
  <dimension ref="A1:K36"/>
  <sheetViews>
    <sheetView workbookViewId="0">
      <selection activeCell="K41" sqref="K41"/>
    </sheetView>
  </sheetViews>
  <sheetFormatPr defaultRowHeight="16.5" x14ac:dyDescent="0.2"/>
  <cols>
    <col min="1" max="1" width="21.875" style="138" customWidth="1"/>
    <col min="2" max="2" width="11" style="115" customWidth="1"/>
    <col min="3" max="3" width="10.75" style="115" customWidth="1"/>
    <col min="4" max="4" width="11.5" style="115" customWidth="1"/>
    <col min="5" max="5" width="10.875" style="115" customWidth="1"/>
    <col min="6" max="16384" width="9" style="115"/>
  </cols>
  <sheetData>
    <row r="1" spans="1:11" s="83" customFormat="1" ht="21" customHeight="1" x14ac:dyDescent="0.2">
      <c r="A1" s="84" t="s">
        <v>193</v>
      </c>
      <c r="B1" s="83" t="s">
        <v>4</v>
      </c>
      <c r="C1" s="83" t="s">
        <v>3</v>
      </c>
      <c r="D1" s="83" t="s">
        <v>2</v>
      </c>
      <c r="E1" s="83" t="s">
        <v>1</v>
      </c>
      <c r="F1" s="87" t="s">
        <v>552</v>
      </c>
    </row>
    <row r="2" spans="1:11" x14ac:dyDescent="0.2">
      <c r="A2" s="138" t="s">
        <v>194</v>
      </c>
      <c r="B2" s="131">
        <v>520.54</v>
      </c>
      <c r="C2" s="131">
        <v>591.34</v>
      </c>
      <c r="D2" s="131">
        <v>686.37</v>
      </c>
      <c r="E2" s="131">
        <v>783.97</v>
      </c>
      <c r="F2" s="131">
        <v>788.23</v>
      </c>
      <c r="G2" s="131"/>
      <c r="H2" s="131"/>
      <c r="I2" s="131"/>
      <c r="J2" s="131"/>
      <c r="K2" s="131"/>
    </row>
    <row r="3" spans="1:11" x14ac:dyDescent="0.2">
      <c r="A3" s="138" t="s">
        <v>555</v>
      </c>
      <c r="B3" s="131">
        <v>423.41</v>
      </c>
      <c r="C3" s="131">
        <v>481.56</v>
      </c>
      <c r="D3" s="131">
        <v>600.25</v>
      </c>
      <c r="E3" s="131">
        <v>818.68</v>
      </c>
      <c r="F3" s="131">
        <v>230.14</v>
      </c>
      <c r="G3" s="131"/>
      <c r="H3" s="131"/>
      <c r="I3" s="131"/>
      <c r="J3" s="131"/>
      <c r="K3" s="131"/>
    </row>
    <row r="4" spans="1:11" x14ac:dyDescent="0.2">
      <c r="A4" s="138" t="s">
        <v>554</v>
      </c>
      <c r="B4" s="131">
        <v>86.43</v>
      </c>
      <c r="C4" s="131">
        <v>105.75</v>
      </c>
      <c r="D4" s="131">
        <v>123.4</v>
      </c>
      <c r="E4" s="131">
        <v>126.85</v>
      </c>
      <c r="F4" s="131">
        <v>15.84</v>
      </c>
      <c r="G4" s="131"/>
      <c r="H4" s="131"/>
      <c r="I4" s="131"/>
      <c r="J4" s="131"/>
      <c r="K4" s="131"/>
    </row>
    <row r="5" spans="1:11" s="180" customFormat="1" x14ac:dyDescent="0.2">
      <c r="A5" s="187" t="s">
        <v>556</v>
      </c>
      <c r="B5" s="133">
        <f>B4/B3</f>
        <v>0.20412838619777521</v>
      </c>
      <c r="C5" s="133">
        <f t="shared" ref="C5:F5" si="0">C4/C3</f>
        <v>0.21959880388736605</v>
      </c>
      <c r="D5" s="133">
        <f t="shared" si="0"/>
        <v>0.20558100791336945</v>
      </c>
      <c r="E5" s="133">
        <f t="shared" si="0"/>
        <v>0.15494454487711926</v>
      </c>
      <c r="F5" s="133">
        <f t="shared" si="0"/>
        <v>6.8827670113843747E-2</v>
      </c>
      <c r="G5" s="133"/>
      <c r="H5" s="133"/>
      <c r="I5" s="133"/>
      <c r="J5" s="133"/>
      <c r="K5" s="133"/>
    </row>
    <row r="6" spans="1:11" s="180" customFormat="1" x14ac:dyDescent="0.2">
      <c r="A6" s="187"/>
      <c r="B6" s="133"/>
      <c r="C6" s="133"/>
      <c r="D6" s="133"/>
      <c r="E6" s="133"/>
      <c r="F6" s="133"/>
      <c r="G6" s="133"/>
      <c r="H6" s="133"/>
      <c r="I6" s="133"/>
      <c r="J6" s="133"/>
      <c r="K6" s="133"/>
    </row>
    <row r="7" spans="1:11" s="118" customFormat="1" x14ac:dyDescent="0.2">
      <c r="A7" s="186" t="s">
        <v>557</v>
      </c>
      <c r="B7" s="134">
        <v>292.10000000000002</v>
      </c>
      <c r="C7" s="134">
        <v>272.29000000000002</v>
      </c>
      <c r="D7" s="134">
        <v>374.87</v>
      </c>
      <c r="E7" s="134">
        <v>605.04</v>
      </c>
      <c r="F7" s="134">
        <v>532.15</v>
      </c>
      <c r="G7" s="134"/>
      <c r="H7" s="134"/>
      <c r="I7" s="134"/>
      <c r="J7" s="134"/>
      <c r="K7" s="134"/>
    </row>
    <row r="8" spans="1:11" x14ac:dyDescent="0.2">
      <c r="A8" s="138" t="s">
        <v>160</v>
      </c>
      <c r="B8" s="131">
        <v>637</v>
      </c>
      <c r="C8" s="131">
        <v>923</v>
      </c>
      <c r="D8" s="131">
        <f>E8-237</f>
        <v>1177.58</v>
      </c>
      <c r="E8" s="131">
        <v>1414.58</v>
      </c>
      <c r="F8" s="131">
        <v>1380.66</v>
      </c>
      <c r="G8" s="131"/>
      <c r="H8" s="131"/>
      <c r="I8" s="131"/>
      <c r="J8" s="131"/>
      <c r="K8" s="131"/>
    </row>
    <row r="9" spans="1:11" x14ac:dyDescent="0.2">
      <c r="A9" s="138" t="s">
        <v>161</v>
      </c>
      <c r="B9" s="131">
        <v>155</v>
      </c>
      <c r="C9" s="131">
        <v>217</v>
      </c>
      <c r="D9" s="131">
        <v>351.2</v>
      </c>
      <c r="E9" s="134">
        <f>E8*19.14%</f>
        <v>270.75061199999999</v>
      </c>
      <c r="F9" s="131">
        <v>167.4</v>
      </c>
      <c r="G9" s="131"/>
      <c r="H9" s="131"/>
      <c r="I9" s="131"/>
      <c r="J9" s="131"/>
      <c r="K9" s="131"/>
    </row>
    <row r="10" spans="1:11" x14ac:dyDescent="0.2">
      <c r="A10" s="138" t="s">
        <v>185</v>
      </c>
      <c r="B10" s="133"/>
      <c r="C10" s="133"/>
      <c r="D10" s="133">
        <v>4.5600000000000002E-2</v>
      </c>
      <c r="E10" s="133">
        <v>4.48E-2</v>
      </c>
      <c r="F10" s="131"/>
      <c r="G10" s="131"/>
      <c r="H10" s="131"/>
      <c r="I10" s="131"/>
      <c r="J10" s="131"/>
      <c r="K10" s="131"/>
    </row>
    <row r="11" spans="1:11" s="118" customFormat="1" x14ac:dyDescent="0.2">
      <c r="A11" s="186" t="s">
        <v>553</v>
      </c>
      <c r="B11" s="134">
        <v>309.10000000000002</v>
      </c>
      <c r="C11" s="134">
        <v>447.14</v>
      </c>
      <c r="D11" s="134">
        <v>650.04999999999995</v>
      </c>
      <c r="E11" s="134">
        <v>885.74</v>
      </c>
      <c r="F11" s="134">
        <v>1113.25</v>
      </c>
      <c r="G11" s="134"/>
      <c r="H11" s="134"/>
      <c r="I11" s="134"/>
      <c r="J11" s="134"/>
      <c r="K11" s="134"/>
    </row>
    <row r="12" spans="1:11" s="118" customFormat="1" x14ac:dyDescent="0.2">
      <c r="A12" s="186"/>
      <c r="B12" s="134"/>
      <c r="C12" s="134"/>
      <c r="D12" s="134"/>
      <c r="E12" s="134"/>
      <c r="F12" s="134"/>
      <c r="G12" s="134"/>
      <c r="H12" s="134"/>
      <c r="I12" s="134"/>
      <c r="J12" s="134"/>
      <c r="K12" s="134"/>
    </row>
    <row r="13" spans="1:11" x14ac:dyDescent="0.2">
      <c r="A13" s="138" t="s">
        <v>196</v>
      </c>
      <c r="B13" s="133">
        <v>0.5524</v>
      </c>
      <c r="C13" s="133">
        <v>0.68789999999999996</v>
      </c>
      <c r="D13" s="133">
        <v>0.746</v>
      </c>
      <c r="E13" s="133">
        <v>0.59319999999999995</v>
      </c>
      <c r="F13" s="133">
        <v>0.73119999999999996</v>
      </c>
      <c r="G13" s="131"/>
      <c r="H13" s="131"/>
      <c r="I13" s="131"/>
      <c r="J13" s="131"/>
      <c r="K13" s="131"/>
    </row>
    <row r="14" spans="1:11" x14ac:dyDescent="0.2">
      <c r="A14" s="138" t="s">
        <v>195</v>
      </c>
      <c r="B14" s="133">
        <v>0.42320000000000002</v>
      </c>
      <c r="C14" s="133">
        <v>0.46339999999999998</v>
      </c>
      <c r="D14" s="133">
        <f>E14-1.39%</f>
        <v>0.40629999999999999</v>
      </c>
      <c r="E14" s="133">
        <v>0.42020000000000002</v>
      </c>
      <c r="F14" s="133">
        <v>0.24759999999999999</v>
      </c>
      <c r="G14" s="131"/>
      <c r="H14" s="131"/>
      <c r="I14" s="131"/>
      <c r="J14" s="131"/>
      <c r="K14" s="131"/>
    </row>
    <row r="15" spans="1:11" x14ac:dyDescent="0.2">
      <c r="A15" s="138" t="s">
        <v>197</v>
      </c>
      <c r="B15" s="131">
        <v>3500</v>
      </c>
      <c r="C15" s="131">
        <v>4696</v>
      </c>
      <c r="D15" s="140">
        <v>5209</v>
      </c>
      <c r="E15" s="131">
        <v>4282.5</v>
      </c>
      <c r="F15" s="131">
        <v>2848.2</v>
      </c>
      <c r="G15" s="131"/>
      <c r="H15" s="131"/>
      <c r="I15" s="131"/>
      <c r="J15" s="131"/>
      <c r="K15" s="131"/>
    </row>
    <row r="16" spans="1:11" x14ac:dyDescent="0.2">
      <c r="B16" s="131"/>
      <c r="C16" s="131"/>
      <c r="D16" s="140"/>
      <c r="E16" s="131"/>
      <c r="F16" s="131"/>
      <c r="G16" s="131"/>
      <c r="H16" s="131"/>
      <c r="I16" s="131"/>
      <c r="J16" s="131"/>
      <c r="K16" s="131"/>
    </row>
    <row r="17" spans="1:11" x14ac:dyDescent="0.2">
      <c r="A17" s="138" t="s">
        <v>199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1"/>
    </row>
    <row r="18" spans="1:11" x14ac:dyDescent="0.2">
      <c r="A18" s="138" t="s">
        <v>202</v>
      </c>
      <c r="B18" s="131"/>
      <c r="C18" s="131"/>
      <c r="D18" s="141">
        <v>863</v>
      </c>
      <c r="E18" s="131">
        <v>1052</v>
      </c>
      <c r="F18" s="131">
        <v>447</v>
      </c>
      <c r="G18" s="131"/>
      <c r="H18" s="131"/>
      <c r="I18" s="131"/>
      <c r="J18" s="131"/>
      <c r="K18" s="131"/>
    </row>
    <row r="19" spans="1:11" hidden="1" x14ac:dyDescent="0.2">
      <c r="A19" s="138" t="s">
        <v>198</v>
      </c>
      <c r="B19" s="131"/>
      <c r="C19" s="131"/>
      <c r="D19" s="141">
        <f>1032/1.24</f>
        <v>832.25806451612902</v>
      </c>
      <c r="E19" s="131">
        <v>1032</v>
      </c>
      <c r="F19" s="131"/>
      <c r="G19" s="131"/>
      <c r="H19" s="131"/>
      <c r="I19" s="131"/>
      <c r="J19" s="131"/>
      <c r="K19" s="131"/>
    </row>
    <row r="20" spans="1:11" x14ac:dyDescent="0.2">
      <c r="A20" s="138" t="s">
        <v>203</v>
      </c>
      <c r="B20" s="131"/>
      <c r="C20" s="131"/>
      <c r="D20" s="141">
        <v>252</v>
      </c>
      <c r="E20" s="131">
        <v>465</v>
      </c>
      <c r="F20" s="131">
        <v>226</v>
      </c>
      <c r="G20" s="131"/>
      <c r="H20" s="131"/>
      <c r="I20" s="131"/>
      <c r="J20" s="131"/>
      <c r="K20" s="131"/>
    </row>
    <row r="21" spans="1:11" s="137" customFormat="1" x14ac:dyDescent="0.2">
      <c r="A21" s="139" t="s">
        <v>20</v>
      </c>
      <c r="B21" s="142"/>
      <c r="C21" s="142"/>
      <c r="D21" s="142">
        <f>D18/D20*10000</f>
        <v>34246.031746031746</v>
      </c>
      <c r="E21" s="142">
        <f>E18/E20*10000</f>
        <v>22623.655913978495</v>
      </c>
      <c r="F21" s="142">
        <f>F18/F20*10000</f>
        <v>19778.761061946905</v>
      </c>
      <c r="G21" s="142"/>
      <c r="H21" s="142"/>
      <c r="I21" s="142"/>
      <c r="J21" s="142"/>
      <c r="K21" s="142"/>
    </row>
    <row r="22" spans="1:11" x14ac:dyDescent="0.2">
      <c r="A22" s="138" t="s">
        <v>200</v>
      </c>
      <c r="B22" s="131">
        <v>20</v>
      </c>
      <c r="C22" s="131"/>
      <c r="D22" s="131">
        <v>47</v>
      </c>
      <c r="E22" s="131">
        <v>25</v>
      </c>
      <c r="F22" s="131">
        <v>14</v>
      </c>
      <c r="G22" s="131"/>
      <c r="H22" s="131"/>
      <c r="I22" s="131"/>
      <c r="J22" s="131"/>
      <c r="K22" s="131"/>
    </row>
    <row r="23" spans="1:11" x14ac:dyDescent="0.2">
      <c r="A23" s="138" t="s">
        <v>201</v>
      </c>
      <c r="B23" s="131">
        <v>580.12</v>
      </c>
      <c r="C23" s="131"/>
      <c r="D23" s="141">
        <v>1208</v>
      </c>
      <c r="E23" s="131">
        <v>1033</v>
      </c>
      <c r="F23" s="131">
        <v>315</v>
      </c>
      <c r="G23" s="131"/>
      <c r="H23" s="131"/>
      <c r="I23" s="131"/>
      <c r="J23" s="131"/>
      <c r="K23" s="131"/>
    </row>
    <row r="24" spans="1:11" x14ac:dyDescent="0.2">
      <c r="B24" s="131"/>
      <c r="C24" s="131"/>
      <c r="D24" s="141"/>
      <c r="E24" s="131"/>
      <c r="F24" s="131"/>
      <c r="G24" s="131"/>
      <c r="H24" s="131"/>
      <c r="I24" s="131"/>
      <c r="J24" s="131"/>
      <c r="K24" s="131"/>
    </row>
    <row r="25" spans="1:11" hidden="1" x14ac:dyDescent="0.2">
      <c r="A25" s="138" t="s">
        <v>205</v>
      </c>
      <c r="B25" s="131">
        <v>637.15</v>
      </c>
      <c r="C25" s="131"/>
      <c r="D25" s="141"/>
      <c r="E25" s="131"/>
      <c r="F25" s="131"/>
      <c r="G25" s="131"/>
      <c r="H25" s="131"/>
      <c r="I25" s="131"/>
      <c r="J25" s="131"/>
      <c r="K25" s="131"/>
    </row>
    <row r="26" spans="1:11" hidden="1" x14ac:dyDescent="0.2">
      <c r="A26" s="138" t="s">
        <v>206</v>
      </c>
      <c r="B26" s="131">
        <v>1197.26</v>
      </c>
      <c r="C26" s="131"/>
      <c r="D26" s="141"/>
      <c r="E26" s="131"/>
      <c r="F26" s="131"/>
      <c r="G26" s="131"/>
      <c r="H26" s="131"/>
      <c r="I26" s="131"/>
      <c r="J26" s="131"/>
      <c r="K26" s="131"/>
    </row>
    <row r="27" spans="1:11" hidden="1" x14ac:dyDescent="0.2">
      <c r="B27" s="131"/>
      <c r="C27" s="131"/>
      <c r="D27" s="131"/>
      <c r="E27" s="131"/>
      <c r="F27" s="131"/>
      <c r="G27" s="131"/>
      <c r="H27" s="131"/>
      <c r="I27" s="131"/>
      <c r="J27" s="131"/>
      <c r="K27" s="131"/>
    </row>
    <row r="28" spans="1:11" x14ac:dyDescent="0.2">
      <c r="A28" s="138" t="s">
        <v>58</v>
      </c>
      <c r="B28" s="131">
        <v>14.44</v>
      </c>
      <c r="C28" s="131">
        <v>17.18</v>
      </c>
      <c r="D28" s="131">
        <v>19.059999999999999</v>
      </c>
      <c r="E28" s="131">
        <v>28.02</v>
      </c>
      <c r="F28" s="131">
        <v>9.9</v>
      </c>
      <c r="G28" s="131"/>
      <c r="H28" s="131"/>
      <c r="I28" s="131"/>
      <c r="J28" s="131"/>
      <c r="K28" s="131"/>
    </row>
    <row r="29" spans="1:11" x14ac:dyDescent="0.2">
      <c r="A29" s="138" t="s">
        <v>59</v>
      </c>
      <c r="B29" s="131">
        <v>22.11</v>
      </c>
      <c r="C29" s="131">
        <v>24.02</v>
      </c>
      <c r="D29" s="131">
        <v>27.75</v>
      </c>
      <c r="E29" s="131">
        <v>28.24</v>
      </c>
      <c r="F29" s="131">
        <v>10</v>
      </c>
      <c r="G29" s="131"/>
      <c r="H29" s="131"/>
      <c r="I29" s="131"/>
      <c r="J29" s="131"/>
      <c r="K29" s="131"/>
    </row>
    <row r="30" spans="1:11" x14ac:dyDescent="0.2">
      <c r="B30" s="131"/>
      <c r="C30" s="131"/>
      <c r="D30" s="131"/>
      <c r="E30" s="131"/>
      <c r="F30" s="131"/>
      <c r="G30" s="131"/>
      <c r="H30" s="131"/>
      <c r="I30" s="131"/>
      <c r="J30" s="131"/>
      <c r="K30" s="131"/>
    </row>
    <row r="31" spans="1:11" hidden="1" x14ac:dyDescent="0.2">
      <c r="A31" s="138" t="s">
        <v>400</v>
      </c>
      <c r="B31" s="131">
        <v>28.97</v>
      </c>
      <c r="C31" s="131">
        <v>36.32</v>
      </c>
      <c r="D31" s="131">
        <v>56.11</v>
      </c>
      <c r="E31" s="131">
        <v>81.19</v>
      </c>
      <c r="F31" s="131"/>
      <c r="G31" s="131"/>
      <c r="H31" s="131"/>
      <c r="I31" s="131"/>
      <c r="J31" s="131"/>
      <c r="K31" s="131"/>
    </row>
    <row r="32" spans="1:11" hidden="1" x14ac:dyDescent="0.2">
      <c r="A32" s="138" t="s">
        <v>401</v>
      </c>
      <c r="B32" s="131">
        <f>B31-B33</f>
        <v>10.969999999999999</v>
      </c>
      <c r="C32" s="131">
        <f t="shared" ref="C32:E32" si="1">C31-C33</f>
        <v>7.8599999999999994</v>
      </c>
      <c r="D32" s="131">
        <f t="shared" si="1"/>
        <v>24.37</v>
      </c>
      <c r="E32" s="131">
        <f t="shared" si="1"/>
        <v>35.22</v>
      </c>
      <c r="F32" s="131"/>
      <c r="G32" s="131"/>
      <c r="H32" s="131"/>
      <c r="I32" s="131"/>
      <c r="J32" s="131"/>
      <c r="K32" s="131"/>
    </row>
    <row r="33" spans="1:11" hidden="1" x14ac:dyDescent="0.2">
      <c r="A33" s="138" t="s">
        <v>38</v>
      </c>
      <c r="B33" s="131">
        <v>18</v>
      </c>
      <c r="C33" s="131">
        <v>28.46</v>
      </c>
      <c r="D33" s="131">
        <v>31.74</v>
      </c>
      <c r="E33" s="131">
        <v>45.97</v>
      </c>
      <c r="F33" s="131"/>
      <c r="G33" s="131"/>
      <c r="H33" s="131"/>
      <c r="I33" s="131"/>
      <c r="J33" s="131"/>
      <c r="K33" s="131"/>
    </row>
    <row r="34" spans="1:11" hidden="1" x14ac:dyDescent="0.2">
      <c r="A34" s="138" t="s">
        <v>204</v>
      </c>
      <c r="B34" s="131">
        <v>33.200000000000003</v>
      </c>
      <c r="C34" s="131">
        <v>53.14</v>
      </c>
      <c r="D34" s="131">
        <v>73.13</v>
      </c>
      <c r="E34" s="131">
        <v>92.99</v>
      </c>
      <c r="F34" s="131"/>
      <c r="G34" s="131"/>
      <c r="H34" s="131"/>
      <c r="I34" s="131"/>
      <c r="J34" s="131"/>
      <c r="K34" s="131"/>
    </row>
    <row r="35" spans="1:11" hidden="1" x14ac:dyDescent="0.2">
      <c r="A35" s="138" t="s">
        <v>397</v>
      </c>
      <c r="B35" s="131"/>
      <c r="C35" s="131">
        <f>B34+C33</f>
        <v>61.660000000000004</v>
      </c>
      <c r="D35" s="131">
        <f>C34+D33</f>
        <v>84.88</v>
      </c>
      <c r="E35" s="131">
        <f>D34+E33</f>
        <v>119.1</v>
      </c>
      <c r="F35" s="131"/>
      <c r="G35" s="131"/>
      <c r="H35" s="131"/>
      <c r="I35" s="131"/>
      <c r="J35" s="131"/>
      <c r="K35" s="131"/>
    </row>
    <row r="36" spans="1:11" hidden="1" x14ac:dyDescent="0.2">
      <c r="A36" s="138" t="s">
        <v>396</v>
      </c>
      <c r="B36" s="131"/>
      <c r="C36" s="131">
        <f>C35-C34</f>
        <v>8.5200000000000031</v>
      </c>
      <c r="D36" s="131">
        <f t="shared" ref="D36:E36" si="2">D35-D34</f>
        <v>11.75</v>
      </c>
      <c r="E36" s="131">
        <f t="shared" si="2"/>
        <v>26.11</v>
      </c>
      <c r="F36" s="131"/>
      <c r="G36" s="131"/>
      <c r="H36" s="131"/>
      <c r="I36" s="131"/>
      <c r="J36" s="131"/>
      <c r="K36" s="131"/>
    </row>
  </sheetData>
  <phoneticPr fontId="1" type="noConversion"/>
  <conditionalFormatting sqref="A5:XFD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全国房地产</vt:lpstr>
      <vt:lpstr>中梁控股</vt:lpstr>
      <vt:lpstr>美的置业</vt:lpstr>
      <vt:lpstr>绿城中国</vt:lpstr>
      <vt:lpstr>中国奥园</vt:lpstr>
      <vt:lpstr>中国恒大</vt:lpstr>
      <vt:lpstr>旭辉控股</vt:lpstr>
      <vt:lpstr>龙湖地产</vt:lpstr>
      <vt:lpstr>华侨城</vt:lpstr>
      <vt:lpstr>蓝光发展</vt:lpstr>
      <vt:lpstr>保利地产</vt:lpstr>
      <vt:lpstr>中国宏洋</vt:lpstr>
      <vt:lpstr>阳光城</vt:lpstr>
      <vt:lpstr>新城控股</vt:lpstr>
      <vt:lpstr>荣盛发展</vt:lpstr>
      <vt:lpstr>金地集团</vt:lpstr>
      <vt:lpstr>融创中国</vt:lpstr>
      <vt:lpstr>中南建设</vt:lpstr>
      <vt:lpstr>金科股份</vt:lpstr>
      <vt:lpstr>万科</vt:lpstr>
      <vt:lpstr>中海发展</vt:lpstr>
      <vt:lpstr>碧桂园</vt:lpstr>
      <vt:lpstr>华发股份</vt:lpstr>
      <vt:lpstr>中国金茂</vt:lpstr>
      <vt:lpstr>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2021-09-04T16:23:25Z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07f3f50e-7755-4fcb-a1af-0feea6fb6302</vt:lpwstr>
  </property>
</Properties>
</file>