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4568909D-08FC-4632-BC5D-1E3F4897FC7C}" xr6:coauthVersionLast="45" xr6:coauthVersionMax="45" xr10:uidLastSave="{00000000-0000-0000-0000-000000000000}"/>
  <bookViews>
    <workbookView xWindow="-120" yWindow="-120" windowWidth="29040" windowHeight="15840" xr2:uid="{E887076B-5B80-2047-AE38-20C1B26E7F6D}"/>
  </bookViews>
  <sheets>
    <sheet name="DCF速算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5" i="1" l="1"/>
  <c r="R14" i="1"/>
  <c r="I4" i="1"/>
  <c r="K4" i="1"/>
  <c r="R17" i="1" l="1"/>
  <c r="R16" i="1"/>
  <c r="U14" i="1"/>
  <c r="R15" i="1"/>
  <c r="U7" i="1"/>
  <c r="U9" i="1" s="1"/>
  <c r="U12" i="1" s="1"/>
  <c r="U15" i="1" s="1"/>
  <c r="T2" i="1"/>
  <c r="P2" i="1"/>
  <c r="C8" i="1" l="1"/>
  <c r="D8" i="1" s="1"/>
  <c r="D9" i="1" s="1"/>
  <c r="E8" i="1" l="1"/>
  <c r="F8" i="1" s="1"/>
  <c r="E9" i="1" l="1"/>
  <c r="F9" i="1" l="1"/>
  <c r="G8" i="1"/>
  <c r="G9" i="1" s="1"/>
  <c r="H8" i="1" l="1"/>
  <c r="H9" i="1" l="1"/>
  <c r="I8" i="1"/>
  <c r="I9" i="1" l="1"/>
  <c r="J8" i="1"/>
  <c r="J9" i="1" l="1"/>
  <c r="K8" i="1"/>
  <c r="K9" i="1" l="1"/>
  <c r="L8" i="1"/>
  <c r="L9" i="1" l="1"/>
  <c r="M8" i="1"/>
  <c r="M9" i="1" l="1"/>
  <c r="N8" i="1"/>
  <c r="N9" i="1" s="1"/>
  <c r="C10" i="1" s="1"/>
  <c r="C13" i="1" s="1"/>
  <c r="D15" i="1" s="1"/>
</calcChain>
</file>

<file path=xl/sharedStrings.xml><?xml version="1.0" encoding="utf-8"?>
<sst xmlns="http://schemas.openxmlformats.org/spreadsheetml/2006/main" count="41" uniqueCount="40">
  <si>
    <t>Apple Inc.</t>
    <phoneticPr fontId="0" type="noConversion"/>
  </si>
  <si>
    <t>Assumptions</t>
    <phoneticPr fontId="2" type="noConversion"/>
  </si>
  <si>
    <t>第一阶段</t>
    <phoneticPr fontId="2" type="noConversion"/>
  </si>
  <si>
    <t>第二阶段</t>
    <phoneticPr fontId="2" type="noConversion"/>
  </si>
  <si>
    <t>经营现金流过去三年CAGR</t>
    <phoneticPr fontId="2" type="noConversion"/>
  </si>
  <si>
    <t>营收过去三年CAGR</t>
    <phoneticPr fontId="2" type="noConversion"/>
  </si>
  <si>
    <t xml:space="preserve">    增速</t>
    <phoneticPr fontId="2" type="noConversion"/>
  </si>
  <si>
    <t xml:space="preserve">    折现率</t>
    <phoneticPr fontId="2" type="noConversion"/>
  </si>
  <si>
    <t>year count</t>
    <phoneticPr fontId="2" type="noConversion"/>
  </si>
  <si>
    <t>永续价值=最后一年自由现金流*(1+二阶段增速)/(折现率-二阶段增速)</t>
    <phoneticPr fontId="0" type="noConversion"/>
  </si>
  <si>
    <t>永续价值</t>
    <phoneticPr fontId="2" type="noConversion"/>
  </si>
  <si>
    <t>自由现金流</t>
    <phoneticPr fontId="2" type="noConversion"/>
  </si>
  <si>
    <t>折现</t>
    <phoneticPr fontId="2" type="noConversion"/>
  </si>
  <si>
    <t>EV</t>
    <phoneticPr fontId="2" type="noConversion"/>
  </si>
  <si>
    <t>Net debt</t>
    <phoneticPr fontId="2" type="noConversion"/>
  </si>
  <si>
    <t>Minority Interest</t>
    <phoneticPr fontId="2" type="noConversion"/>
  </si>
  <si>
    <t>Market Cap</t>
    <phoneticPr fontId="2" type="noConversion"/>
  </si>
  <si>
    <t>Shares outstanding</t>
    <phoneticPr fontId="2" type="noConversion"/>
  </si>
  <si>
    <t>增速</t>
    <phoneticPr fontId="2" type="noConversion"/>
  </si>
  <si>
    <t>Price per share</t>
    <phoneticPr fontId="2" type="noConversion"/>
  </si>
  <si>
    <t>折现率</t>
    <phoneticPr fontId="2" type="noConversion"/>
  </si>
  <si>
    <t>forward PE</t>
  </si>
  <si>
    <t>Revenue</t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</si>
  <si>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10</t>
    </r>
    <r>
      <rPr>
        <sz val="12"/>
        <color theme="1"/>
        <rFont val="宋体"/>
        <family val="3"/>
        <charset val="134"/>
      </rPr>
      <t>年</t>
    </r>
  </si>
  <si>
    <t>Growth</t>
    <phoneticPr fontId="2" type="noConversion"/>
  </si>
  <si>
    <t>2016-2018</t>
    <phoneticPr fontId="2" type="noConversion"/>
  </si>
  <si>
    <r>
      <t xml:space="preserve">     </t>
    </r>
    <r>
      <rPr>
        <sz val="12"/>
        <color theme="1"/>
        <rFont val="宋体"/>
        <family val="3"/>
        <charset val="134"/>
      </rPr>
      <t>净利润率</t>
    </r>
    <phoneticPr fontId="2" type="noConversion"/>
  </si>
  <si>
    <r>
      <t xml:space="preserve">     </t>
    </r>
    <r>
      <rPr>
        <sz val="12"/>
        <color theme="1"/>
        <rFont val="宋体"/>
        <family val="3"/>
        <charset val="134"/>
      </rPr>
      <t>净利润</t>
    </r>
    <phoneticPr fontId="2" type="noConversion"/>
  </si>
  <si>
    <t>PE</t>
    <phoneticPr fontId="2" type="noConversion"/>
  </si>
  <si>
    <t>EPS Normalized</t>
  </si>
  <si>
    <r>
      <t xml:space="preserve">     </t>
    </r>
    <r>
      <rPr>
        <sz val="12"/>
        <color theme="1"/>
        <rFont val="Helvetica"/>
        <family val="3"/>
      </rPr>
      <t>届时市值(亿)</t>
    </r>
    <phoneticPr fontId="2" type="noConversion"/>
  </si>
  <si>
    <r>
      <rPr>
        <sz val="12"/>
        <color theme="1"/>
        <rFont val="宋体"/>
        <family val="3"/>
        <charset val="134"/>
      </rPr>
      <t>年收益率要求</t>
    </r>
    <phoneticPr fontId="2" type="noConversion"/>
  </si>
  <si>
    <r>
      <rPr>
        <sz val="12"/>
        <color theme="1"/>
        <rFont val="宋体"/>
        <family val="3"/>
        <charset val="134"/>
      </rPr>
      <t>当前合理市值</t>
    </r>
    <phoneticPr fontId="2" type="noConversion"/>
  </si>
  <si>
    <r>
      <t>21</t>
    </r>
    <r>
      <rPr>
        <sz val="12"/>
        <color theme="1"/>
        <rFont val="宋体"/>
        <family val="3"/>
        <charset val="134"/>
      </rPr>
      <t>年</t>
    </r>
    <phoneticPr fontId="2" type="noConversion"/>
  </si>
  <si>
    <r>
      <rPr>
        <sz val="12"/>
        <color theme="1"/>
        <rFont val="宋体"/>
        <family val="3"/>
        <charset val="134"/>
      </rPr>
      <t>相当于</t>
    </r>
    <r>
      <rPr>
        <sz val="12"/>
        <color theme="1"/>
        <rFont val="Helvetica"/>
        <family val="2"/>
      </rPr>
      <t>22</t>
    </r>
    <r>
      <rPr>
        <sz val="12"/>
        <color theme="1"/>
        <rFont val="宋体"/>
        <family val="3"/>
        <charset val="134"/>
      </rPr>
      <t>年</t>
    </r>
    <phoneticPr fontId="2" type="noConversion"/>
  </si>
  <si>
    <r>
      <rPr>
        <sz val="12"/>
        <color theme="1"/>
        <rFont val="宋体"/>
        <family val="3"/>
        <charset val="134"/>
      </rPr>
      <t>当前合理股价</t>
    </r>
    <phoneticPr fontId="2" type="noConversion"/>
  </si>
  <si>
    <r>
      <rPr>
        <sz val="12"/>
        <color theme="1"/>
        <rFont val="宋体"/>
        <family val="3"/>
        <charset val="134"/>
      </rPr>
      <t>备注：有回购</t>
    </r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</si>
  <si>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5</t>
    </r>
    <r>
      <rPr>
        <sz val="12"/>
        <color theme="1"/>
        <rFont val="宋体"/>
        <family val="3"/>
        <charset val="134"/>
      </rPr>
      <t>年</t>
    </r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</si>
  <si>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3</t>
    </r>
    <r>
      <rPr>
        <sz val="12"/>
        <color theme="1"/>
        <rFont val="宋体"/>
        <family val="3"/>
        <charset val="134"/>
      </rPr>
      <t>年</t>
    </r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</si>
  <si>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1</t>
    </r>
    <r>
      <rPr>
        <sz val="12"/>
        <color theme="1"/>
        <rFont val="宋体"/>
        <family val="3"/>
        <charset val="134"/>
      </rPr>
      <t>年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</si>
</sst>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(* #,##0.00_);_(* \(#,##0.00\);_(* &quot;-&quot;??_);_(@_)"/>
    <numFmt numFmtId="177" formatCode="0.0%"/>
    <numFmt numFmtId="178" formatCode="_(* #,##0.0_);_(* \(#,##0.0\);_(* &quot;-&quot;?_);_(@_)"/>
    <numFmt numFmtId="179" formatCode="0.00_);[Red]\(0.00\)"/>
    <numFmt numFmtId="180" formatCode="0&quot;年后Revenue&quot;"/>
    <numFmt numFmtId="181" formatCode="0&quot;倍PE&quot;"/>
    <numFmt numFmtId="182" formatCode="0.00&quot;倍PE&quot;"/>
    <numFmt numFmtId="183" formatCode="_(* #,##0.00_);_(* \(#,##0.00\);_(* &quot;-&quot;?_);_(@_)"/>
  </numFmts>
  <fonts count="13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i/>
      <sz val="12"/>
      <color indexed="8"/>
      <name val="Arial"/>
      <family val="2"/>
    </font>
    <font>
      <i/>
      <sz val="12"/>
      <color theme="1"/>
      <name val="宋体"/>
      <family val="3"/>
      <charset val="134"/>
    </font>
    <font>
      <b/>
      <sz val="12"/>
      <name val="Arial"/>
      <family val="2"/>
    </font>
    <font>
      <sz val="12"/>
      <color theme="1"/>
      <name val="Helvetica"/>
      <family val="2"/>
    </font>
    <font>
      <i/>
      <sz val="12"/>
      <color indexed="8"/>
      <name val="Helvetica"/>
      <family val="2"/>
    </font>
    <font>
      <sz val="12"/>
      <color theme="1"/>
      <name val="Helvetica"/>
      <family val="3"/>
    </font>
    <font>
      <b/>
      <sz val="12"/>
      <color theme="1"/>
      <name val="Helvetica"/>
      <family val="2"/>
    </font>
    <font>
      <sz val="12"/>
      <color theme="1"/>
      <name val="Helvetica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5" xfId="0" applyFont="1" applyBorder="1">
      <alignment vertical="center"/>
    </xf>
    <xf numFmtId="177" fontId="3" fillId="2" borderId="0" xfId="1" applyNumberFormat="1" applyFont="1" applyFill="1" applyBorder="1">
      <alignment vertical="center"/>
    </xf>
    <xf numFmtId="177" fontId="5" fillId="0" borderId="0" xfId="1" applyNumberFormat="1" applyFont="1" applyBorder="1" applyAlignment="1">
      <alignment horizontal="left" vertical="top" wrapText="1"/>
    </xf>
    <xf numFmtId="0" fontId="3" fillId="3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5" xfId="0" applyFont="1" applyBorder="1" applyAlignment="1">
      <alignment horizontal="right" vertical="center"/>
    </xf>
    <xf numFmtId="0" fontId="4" fillId="3" borderId="5" xfId="0" applyFont="1" applyFill="1" applyBorder="1">
      <alignment vertical="center"/>
    </xf>
    <xf numFmtId="0" fontId="4" fillId="3" borderId="4" xfId="0" applyFont="1" applyFill="1" applyBorder="1">
      <alignment vertical="center"/>
    </xf>
    <xf numFmtId="178" fontId="3" fillId="0" borderId="0" xfId="0" applyNumberFormat="1" applyFont="1">
      <alignment vertical="center"/>
    </xf>
    <xf numFmtId="178" fontId="3" fillId="0" borderId="5" xfId="0" applyNumberFormat="1" applyFont="1" applyBorder="1">
      <alignment vertical="center"/>
    </xf>
    <xf numFmtId="0" fontId="3" fillId="0" borderId="4" xfId="0" applyFont="1" applyBorder="1">
      <alignment vertical="center"/>
    </xf>
    <xf numFmtId="176" fontId="3" fillId="0" borderId="5" xfId="0" applyNumberFormat="1" applyFont="1" applyBorder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179" fontId="7" fillId="0" borderId="0" xfId="0" applyNumberFormat="1" applyFont="1">
      <alignment vertical="center"/>
    </xf>
    <xf numFmtId="9" fontId="3" fillId="4" borderId="0" xfId="1" applyFont="1" applyFill="1" applyBorder="1">
      <alignment vertical="center"/>
    </xf>
    <xf numFmtId="179" fontId="3" fillId="0" borderId="0" xfId="0" applyNumberFormat="1" applyFont="1">
      <alignment vertical="center"/>
    </xf>
    <xf numFmtId="179" fontId="3" fillId="5" borderId="0" xfId="0" applyNumberFormat="1" applyFont="1" applyFill="1">
      <alignment vertical="center"/>
    </xf>
    <xf numFmtId="9" fontId="3" fillId="0" borderId="0" xfId="1" applyFont="1" applyBorder="1">
      <alignment vertical="center"/>
    </xf>
    <xf numFmtId="9" fontId="3" fillId="0" borderId="5" xfId="1" applyFont="1" applyBorder="1">
      <alignment vertical="center"/>
    </xf>
    <xf numFmtId="0" fontId="0" fillId="0" borderId="6" xfId="0" applyBorder="1">
      <alignment vertical="center"/>
    </xf>
    <xf numFmtId="0" fontId="3" fillId="4" borderId="7" xfId="0" applyFont="1" applyFill="1" applyBorder="1">
      <alignment vertical="center"/>
    </xf>
    <xf numFmtId="179" fontId="3" fillId="0" borderId="7" xfId="0" applyNumberFormat="1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178" fontId="8" fillId="0" borderId="3" xfId="0" applyNumberFormat="1" applyFont="1" applyBorder="1">
      <alignment vertical="center"/>
    </xf>
    <xf numFmtId="0" fontId="8" fillId="0" borderId="4" xfId="0" applyFont="1" applyBorder="1">
      <alignment vertical="center"/>
    </xf>
    <xf numFmtId="0" fontId="8" fillId="0" borderId="0" xfId="0" applyFont="1" applyAlignment="1">
      <alignment horizontal="right" vertical="center"/>
    </xf>
    <xf numFmtId="176" fontId="8" fillId="0" borderId="5" xfId="0" applyNumberFormat="1" applyFont="1" applyBorder="1">
      <alignment vertical="center"/>
    </xf>
    <xf numFmtId="177" fontId="9" fillId="2" borderId="5" xfId="1" applyNumberFormat="1" applyFont="1" applyFill="1" applyBorder="1" applyAlignment="1">
      <alignment horizontal="right" vertical="top" wrapText="1"/>
    </xf>
    <xf numFmtId="180" fontId="8" fillId="0" borderId="4" xfId="0" applyNumberFormat="1" applyFont="1" applyBorder="1" applyAlignment="1">
      <alignment horizontal="left" vertical="center"/>
    </xf>
    <xf numFmtId="178" fontId="8" fillId="0" borderId="5" xfId="0" applyNumberFormat="1" applyFont="1" applyBorder="1">
      <alignment vertical="center"/>
    </xf>
    <xf numFmtId="181" fontId="8" fillId="2" borderId="5" xfId="0" applyNumberFormat="1" applyFont="1" applyFill="1" applyBorder="1">
      <alignment vertical="center"/>
    </xf>
    <xf numFmtId="0" fontId="8" fillId="0" borderId="5" xfId="0" applyFont="1" applyBorder="1">
      <alignment vertical="center"/>
    </xf>
    <xf numFmtId="181" fontId="8" fillId="2" borderId="0" xfId="0" applyNumberFormat="1" applyFont="1" applyFill="1">
      <alignment vertical="center"/>
    </xf>
    <xf numFmtId="176" fontId="11" fillId="0" borderId="5" xfId="0" applyNumberFormat="1" applyFont="1" applyBorder="1">
      <alignment vertical="center"/>
    </xf>
    <xf numFmtId="182" fontId="8" fillId="0" borderId="5" xfId="0" applyNumberFormat="1" applyFont="1" applyBorder="1">
      <alignment vertical="center"/>
    </xf>
    <xf numFmtId="0" fontId="8" fillId="0" borderId="6" xfId="0" applyFont="1" applyBorder="1">
      <alignment vertical="center"/>
    </xf>
    <xf numFmtId="183" fontId="11" fillId="0" borderId="8" xfId="0" applyNumberFormat="1" applyFont="1" applyBorder="1">
      <alignment vertical="center"/>
    </xf>
    <xf numFmtId="181" fontId="8" fillId="2" borderId="7" xfId="0" applyNumberFormat="1" applyFont="1" applyFill="1" applyBorder="1">
      <alignment vertical="center"/>
    </xf>
    <xf numFmtId="176" fontId="8" fillId="0" borderId="8" xfId="0" applyNumberFormat="1" applyFont="1" applyBorder="1">
      <alignment vertical="center"/>
    </xf>
    <xf numFmtId="9" fontId="8" fillId="4" borderId="0" xfId="1" applyFont="1" applyFill="1" applyBorder="1">
      <alignment vertical="center"/>
    </xf>
    <xf numFmtId="9" fontId="8" fillId="4" borderId="7" xfId="1" applyFont="1" applyFill="1" applyBorder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righ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DAC7-179E-9942-8858-AA3D449E4DC4}">
  <dimension ref="B2:U20"/>
  <sheetViews>
    <sheetView tabSelected="1" zoomScale="120" zoomScaleNormal="120" workbookViewId="0">
      <selection activeCell="E25" sqref="E25"/>
    </sheetView>
  </sheetViews>
  <sheetFormatPr defaultColWidth="11" defaultRowHeight="15.75" x14ac:dyDescent="0.25"/>
  <cols>
    <col min="2" max="2" width="20.5" bestFit="1" customWidth="1"/>
    <col min="3" max="3" width="14.375" bestFit="1" customWidth="1"/>
    <col min="4" max="9" width="11.375" bestFit="1" customWidth="1"/>
    <col min="10" max="12" width="12.5" bestFit="1" customWidth="1"/>
    <col min="13" max="13" width="12.5" customWidth="1"/>
    <col min="14" max="14" width="13" customWidth="1"/>
    <col min="18" max="18" width="11.625" bestFit="1" customWidth="1"/>
    <col min="20" max="20" width="20.5" bestFit="1" customWidth="1"/>
    <col min="21" max="21" width="12.5" bestFit="1" customWidth="1"/>
  </cols>
  <sheetData>
    <row r="2" spans="2:21" x14ac:dyDescent="0.25">
      <c r="B2" s="1"/>
      <c r="C2" s="2"/>
      <c r="D2" s="2"/>
      <c r="E2" s="2"/>
      <c r="F2" s="2"/>
      <c r="G2" s="3" t="s">
        <v>0</v>
      </c>
      <c r="H2" s="2"/>
      <c r="I2" s="2"/>
      <c r="J2" s="2"/>
      <c r="K2" s="2"/>
      <c r="L2" s="2"/>
      <c r="M2" s="2"/>
      <c r="N2" s="4"/>
      <c r="P2" s="57" t="str">
        <f>G2</f>
        <v>Apple Inc.</v>
      </c>
      <c r="Q2" s="58"/>
      <c r="R2" s="59"/>
      <c r="S2" s="35"/>
      <c r="T2" s="57" t="str">
        <f>G2</f>
        <v>Apple Inc.</v>
      </c>
      <c r="U2" s="59"/>
    </row>
    <row r="3" spans="2:21" x14ac:dyDescent="0.25">
      <c r="B3" s="5"/>
      <c r="C3" s="6" t="s">
        <v>1</v>
      </c>
      <c r="D3" s="7" t="s">
        <v>2</v>
      </c>
      <c r="E3" s="7" t="s">
        <v>3</v>
      </c>
      <c r="F3" s="8"/>
      <c r="H3" s="8"/>
      <c r="I3" s="9" t="s">
        <v>4</v>
      </c>
      <c r="J3" s="9"/>
      <c r="K3" s="9" t="s">
        <v>5</v>
      </c>
      <c r="M3" s="9"/>
      <c r="N3" s="10"/>
      <c r="P3" s="36" t="s">
        <v>21</v>
      </c>
      <c r="Q3" s="37"/>
      <c r="R3" s="38"/>
      <c r="S3" s="35"/>
      <c r="T3" s="36" t="s">
        <v>22</v>
      </c>
      <c r="U3" s="39">
        <v>274515</v>
      </c>
    </row>
    <row r="4" spans="2:21" x14ac:dyDescent="0.25">
      <c r="B4" s="5"/>
      <c r="C4" s="7" t="s">
        <v>6</v>
      </c>
      <c r="D4" s="11">
        <v>0.06</v>
      </c>
      <c r="E4" s="11">
        <v>0.03</v>
      </c>
      <c r="F4" s="8"/>
      <c r="G4" s="8"/>
      <c r="H4" s="8"/>
      <c r="I4" s="12">
        <f>POWER(80674/64225,1/3)-1</f>
        <v>7.8971133763741541E-2</v>
      </c>
      <c r="K4" s="12">
        <f>POWER(274515/229234,1/3)-1</f>
        <v>6.1929492587994961E-2</v>
      </c>
      <c r="N4" s="10"/>
      <c r="P4" s="40"/>
      <c r="Q4" s="41" t="s">
        <v>23</v>
      </c>
      <c r="R4" s="42">
        <v>14.71</v>
      </c>
      <c r="S4" s="35"/>
      <c r="T4" s="40" t="s">
        <v>24</v>
      </c>
      <c r="U4" s="43">
        <v>0.09</v>
      </c>
    </row>
    <row r="5" spans="2:21" x14ac:dyDescent="0.25">
      <c r="B5" s="5"/>
      <c r="C5" s="7" t="s">
        <v>7</v>
      </c>
      <c r="D5" s="11">
        <v>0.12</v>
      </c>
      <c r="E5" s="11"/>
      <c r="F5" s="8"/>
      <c r="G5" s="8"/>
      <c r="H5" s="8"/>
      <c r="I5" s="8"/>
      <c r="J5" s="8"/>
      <c r="K5" s="8"/>
      <c r="L5" s="8"/>
      <c r="M5" s="8"/>
      <c r="N5" s="10"/>
      <c r="P5" s="40"/>
      <c r="Q5" s="60" t="s">
        <v>37</v>
      </c>
      <c r="R5" s="42">
        <v>16.670000000000002</v>
      </c>
      <c r="S5" s="35"/>
      <c r="T5" s="44">
        <v>5</v>
      </c>
      <c r="U5" s="45">
        <f>U3*POWER(1+U4,T5)</f>
        <v>422375.35497937363</v>
      </c>
    </row>
    <row r="6" spans="2:21" x14ac:dyDescent="0.25">
      <c r="B6" s="5"/>
      <c r="C6" s="13" t="s">
        <v>8</v>
      </c>
      <c r="E6" s="8"/>
      <c r="F6" s="8"/>
      <c r="G6" s="8"/>
      <c r="H6" s="8"/>
      <c r="I6" s="8"/>
      <c r="K6" s="14"/>
      <c r="L6" s="14"/>
      <c r="M6" s="14"/>
      <c r="N6" s="15" t="s">
        <v>9</v>
      </c>
      <c r="P6" s="40"/>
      <c r="Q6" s="41" t="s">
        <v>25</v>
      </c>
      <c r="R6" s="42">
        <v>13.91</v>
      </c>
      <c r="S6" s="35"/>
      <c r="T6" s="40" t="s">
        <v>26</v>
      </c>
      <c r="U6" s="43">
        <v>0.25</v>
      </c>
    </row>
    <row r="7" spans="2:21" x14ac:dyDescent="0.25">
      <c r="B7" s="5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>
        <v>6</v>
      </c>
      <c r="J7" s="13">
        <v>7</v>
      </c>
      <c r="K7" s="13">
        <v>8</v>
      </c>
      <c r="L7" s="13">
        <v>9</v>
      </c>
      <c r="M7" s="13">
        <v>10</v>
      </c>
      <c r="N7" s="16" t="s">
        <v>10</v>
      </c>
      <c r="P7" s="40"/>
      <c r="Q7" s="60" t="s">
        <v>38</v>
      </c>
      <c r="R7" s="42">
        <v>18.93</v>
      </c>
      <c r="S7" s="35"/>
      <c r="T7" s="40" t="s">
        <v>27</v>
      </c>
      <c r="U7" s="45">
        <f>U5*U6</f>
        <v>105593.83874484341</v>
      </c>
    </row>
    <row r="8" spans="2:21" x14ac:dyDescent="0.25">
      <c r="B8" s="17" t="s">
        <v>11</v>
      </c>
      <c r="C8" s="18">
        <f>80674-7309</f>
        <v>73365</v>
      </c>
      <c r="D8" s="18">
        <f>C8*(1+D4)</f>
        <v>77766.900000000009</v>
      </c>
      <c r="E8" s="18">
        <f>D8*(1+D4)</f>
        <v>82432.914000000019</v>
      </c>
      <c r="F8" s="18">
        <f>E8*(1+D4)</f>
        <v>87378.888840000029</v>
      </c>
      <c r="G8" s="18">
        <f>F8*(1+D4)</f>
        <v>92621.622170400035</v>
      </c>
      <c r="H8" s="18">
        <f>G8*(1+D4)</f>
        <v>98178.919500624048</v>
      </c>
      <c r="I8" s="18">
        <f>H8*(1+D4)</f>
        <v>104069.65467066149</v>
      </c>
      <c r="J8" s="18">
        <f>I8*(1+D4)</f>
        <v>110313.83395090119</v>
      </c>
      <c r="K8" s="18">
        <f>J8*(1+D4)</f>
        <v>116932.66398795527</v>
      </c>
      <c r="L8" s="18">
        <f>K8*(1+D4)</f>
        <v>123948.62382723259</v>
      </c>
      <c r="M8" s="18">
        <f>L8*(1+D4)</f>
        <v>131385.54125686653</v>
      </c>
      <c r="N8" s="19">
        <f>M8*(1+E4)/(D5-E4)</f>
        <v>1503634.5277174725</v>
      </c>
      <c r="P8" s="40"/>
      <c r="Q8" s="60" t="s">
        <v>39</v>
      </c>
      <c r="R8" s="42">
        <v>25.63</v>
      </c>
      <c r="S8" s="35"/>
      <c r="T8" s="40" t="s">
        <v>28</v>
      </c>
      <c r="U8" s="46">
        <v>15</v>
      </c>
    </row>
    <row r="9" spans="2:21" x14ac:dyDescent="0.25">
      <c r="B9" s="17" t="s">
        <v>12</v>
      </c>
      <c r="D9" s="18">
        <f>D8/(1+D5)^(D7)</f>
        <v>69434.732142857145</v>
      </c>
      <c r="E9" s="18">
        <f>E8/(1+D5)^(E7)</f>
        <v>65715.014349489808</v>
      </c>
      <c r="F9" s="18">
        <f>F8/(1+D5)^(F7)</f>
        <v>62194.567152195705</v>
      </c>
      <c r="G9" s="18">
        <f>G8/(1+D5)^(G7)</f>
        <v>58862.715340470939</v>
      </c>
      <c r="H9" s="18">
        <f>H8/(1+D5)^(H7)</f>
        <v>55709.355590088569</v>
      </c>
      <c r="I9" s="18">
        <f>I8/(1+D5)^(I7)</f>
        <v>52724.92582633382</v>
      </c>
      <c r="J9" s="18">
        <f>J8/(1+D5)^(J7)</f>
        <v>49900.376228494504</v>
      </c>
      <c r="K9" s="18">
        <f>K8/(1+D5)^(K7)</f>
        <v>47227.141787682303</v>
      </c>
      <c r="L9" s="18">
        <f>L8/(1+D5)^(L7)</f>
        <v>44697.116334770748</v>
      </c>
      <c r="M9" s="18">
        <f>M8/(1+D5)^(M7)</f>
        <v>42302.627959693738</v>
      </c>
      <c r="N9" s="19">
        <f>N8/(1+D5)^(M7)</f>
        <v>484130.07553871721</v>
      </c>
      <c r="P9" s="40" t="s">
        <v>29</v>
      </c>
      <c r="Q9" s="35"/>
      <c r="R9" s="42"/>
      <c r="S9" s="35"/>
      <c r="T9" s="40" t="s">
        <v>30</v>
      </c>
      <c r="U9" s="45">
        <f>U7*U8/100</f>
        <v>15839.075811726512</v>
      </c>
    </row>
    <row r="10" spans="2:21" x14ac:dyDescent="0.25">
      <c r="B10" s="20" t="s">
        <v>13</v>
      </c>
      <c r="C10" s="18">
        <f>SUM(D9:N9)</f>
        <v>1032898.6482507945</v>
      </c>
      <c r="E10" s="8"/>
      <c r="F10" s="8"/>
      <c r="G10" s="8"/>
      <c r="H10" s="8"/>
      <c r="I10" s="8"/>
      <c r="J10" s="8"/>
      <c r="K10" s="8"/>
      <c r="L10" s="8"/>
      <c r="M10" s="8"/>
      <c r="N10" s="10"/>
      <c r="P10" s="40"/>
      <c r="Q10" s="35">
        <v>2021</v>
      </c>
      <c r="R10" s="42">
        <v>3.95</v>
      </c>
      <c r="S10" s="35"/>
      <c r="T10" s="40"/>
      <c r="U10" s="47"/>
    </row>
    <row r="11" spans="2:21" x14ac:dyDescent="0.25">
      <c r="B11" s="20" t="s">
        <v>14</v>
      </c>
      <c r="C11" s="18">
        <v>-69552</v>
      </c>
      <c r="E11" s="8"/>
      <c r="F11" s="8"/>
      <c r="G11" s="8"/>
      <c r="H11" s="8"/>
      <c r="I11" s="8"/>
      <c r="J11" s="8"/>
      <c r="K11" s="8"/>
      <c r="L11" s="8"/>
      <c r="M11" s="8"/>
      <c r="N11" s="21"/>
      <c r="P11" s="40"/>
      <c r="Q11" s="35">
        <v>2022</v>
      </c>
      <c r="R11" s="42">
        <v>4.3099999999999996</v>
      </c>
      <c r="S11" s="35"/>
      <c r="T11" s="40" t="s">
        <v>31</v>
      </c>
      <c r="U11" s="43">
        <v>0.12</v>
      </c>
    </row>
    <row r="12" spans="2:21" x14ac:dyDescent="0.25">
      <c r="B12" s="20" t="s">
        <v>15</v>
      </c>
      <c r="C12" s="18">
        <v>0</v>
      </c>
      <c r="E12" s="8"/>
      <c r="F12" s="8"/>
      <c r="G12" s="8"/>
      <c r="H12" s="8"/>
      <c r="I12" s="8"/>
      <c r="J12" s="8"/>
      <c r="K12" s="8"/>
      <c r="L12" s="8"/>
      <c r="M12" s="8"/>
      <c r="N12" s="21"/>
      <c r="P12" s="40"/>
      <c r="Q12" s="35">
        <v>2023</v>
      </c>
      <c r="R12" s="42">
        <v>4.71</v>
      </c>
      <c r="S12" s="35"/>
      <c r="T12" s="40" t="s">
        <v>32</v>
      </c>
      <c r="U12" s="45">
        <f>U9/POWER(1+U11,T5)</f>
        <v>8987.5169853364951</v>
      </c>
    </row>
    <row r="13" spans="2:21" x14ac:dyDescent="0.25">
      <c r="B13" s="20" t="s">
        <v>16</v>
      </c>
      <c r="C13" s="18">
        <f>C10-C11-C12</f>
        <v>1102450.6482507945</v>
      </c>
      <c r="E13" s="8"/>
      <c r="F13" s="8"/>
      <c r="G13" s="8"/>
      <c r="H13" s="8"/>
      <c r="I13" s="8"/>
      <c r="J13" s="8"/>
      <c r="K13" s="8"/>
      <c r="L13" s="8"/>
      <c r="M13" s="8"/>
      <c r="N13" s="21"/>
      <c r="P13" s="40"/>
      <c r="Q13" s="35"/>
      <c r="R13" s="42"/>
      <c r="S13" s="35"/>
      <c r="T13" s="40"/>
      <c r="U13" s="47"/>
    </row>
    <row r="14" spans="2:21" x14ac:dyDescent="0.25">
      <c r="B14" s="20" t="s">
        <v>17</v>
      </c>
      <c r="C14" s="18">
        <v>17001.8</v>
      </c>
      <c r="E14" s="22" t="s">
        <v>18</v>
      </c>
      <c r="F14" s="23"/>
      <c r="G14" s="23"/>
      <c r="H14" s="23"/>
      <c r="I14" s="23"/>
      <c r="J14" s="8"/>
      <c r="K14" s="8"/>
      <c r="L14" s="8"/>
      <c r="M14" s="8"/>
      <c r="N14" s="21"/>
      <c r="P14" s="40" t="s">
        <v>33</v>
      </c>
      <c r="Q14" s="48">
        <v>15</v>
      </c>
      <c r="R14" s="49">
        <f>Q14*R10</f>
        <v>59.25</v>
      </c>
      <c r="S14" s="35"/>
      <c r="T14" s="40" t="s">
        <v>17</v>
      </c>
      <c r="U14" s="42">
        <f>C14</f>
        <v>17001.8</v>
      </c>
    </row>
    <row r="15" spans="2:21" x14ac:dyDescent="0.25">
      <c r="B15" s="20" t="s">
        <v>19</v>
      </c>
      <c r="D15" s="24">
        <f>C13/C14</f>
        <v>64.843172384735411</v>
      </c>
      <c r="E15" s="25">
        <v>0.04</v>
      </c>
      <c r="F15" s="25">
        <v>0.05</v>
      </c>
      <c r="G15" s="25">
        <v>0.06</v>
      </c>
      <c r="H15" s="25">
        <v>7.0000000000000007E-2</v>
      </c>
      <c r="I15" s="25">
        <v>0.08</v>
      </c>
      <c r="J15" s="8"/>
      <c r="K15" s="8"/>
      <c r="L15" s="8"/>
      <c r="M15" s="8"/>
      <c r="N15" s="10"/>
      <c r="P15" s="40" t="s">
        <v>34</v>
      </c>
      <c r="Q15" s="35"/>
      <c r="R15" s="50">
        <f>R14/R11</f>
        <v>13.747099767981441</v>
      </c>
      <c r="S15" s="35"/>
      <c r="T15" s="51" t="s">
        <v>35</v>
      </c>
      <c r="U15" s="52">
        <f>U12/U14*100</f>
        <v>52.862149803764865</v>
      </c>
    </row>
    <row r="16" spans="2:21" x14ac:dyDescent="0.25">
      <c r="B16" s="5"/>
      <c r="C16" s="22" t="s">
        <v>20</v>
      </c>
      <c r="D16" s="55">
        <v>0.18</v>
      </c>
      <c r="E16" s="26">
        <f t="dataTable" ref="E16:I20" dt2D="1" dtr="1" r1="D4" r2="D5"/>
        <v>35.460365656207586</v>
      </c>
      <c r="F16" s="26">
        <v>37.31850446885641</v>
      </c>
      <c r="G16" s="26">
        <v>39.304076831818769</v>
      </c>
      <c r="H16" s="26">
        <v>41.425835334166429</v>
      </c>
      <c r="I16" s="26">
        <v>43.693083151704478</v>
      </c>
      <c r="J16" s="8"/>
      <c r="K16" s="8"/>
      <c r="L16" s="8"/>
      <c r="M16" s="8"/>
      <c r="N16" s="10"/>
      <c r="P16" s="40"/>
      <c r="Q16" s="48">
        <v>12</v>
      </c>
      <c r="R16" s="42">
        <f>Q16*R10</f>
        <v>47.400000000000006</v>
      </c>
      <c r="S16" s="35"/>
      <c r="T16" s="40" t="s">
        <v>36</v>
      </c>
      <c r="U16" s="35"/>
    </row>
    <row r="17" spans="2:21" x14ac:dyDescent="0.25">
      <c r="B17" s="5"/>
      <c r="C17" s="23"/>
      <c r="D17" s="55">
        <v>0.15</v>
      </c>
      <c r="E17" s="26">
        <v>43.512927325865981</v>
      </c>
      <c r="F17" s="27">
        <v>46.069655970782328</v>
      </c>
      <c r="G17" s="27">
        <v>48.811555432549525</v>
      </c>
      <c r="H17" s="27">
        <v>51.751716933347822</v>
      </c>
      <c r="I17" s="26">
        <v>54.904069495926677</v>
      </c>
      <c r="J17" s="8"/>
      <c r="K17" s="8"/>
      <c r="L17" s="8"/>
      <c r="M17" s="8"/>
      <c r="N17" s="10"/>
      <c r="P17" s="51"/>
      <c r="Q17" s="53">
        <v>10</v>
      </c>
      <c r="R17" s="54">
        <f>Q17*R10</f>
        <v>39.5</v>
      </c>
      <c r="S17" s="35"/>
      <c r="T17" s="35"/>
      <c r="U17" s="35"/>
    </row>
    <row r="18" spans="2:21" x14ac:dyDescent="0.25">
      <c r="B18" s="5"/>
      <c r="C18" s="23"/>
      <c r="D18" s="55">
        <v>0.12</v>
      </c>
      <c r="E18" s="26">
        <v>56.988432313535881</v>
      </c>
      <c r="F18" s="27">
        <v>60.771196983963819</v>
      </c>
      <c r="G18" s="27">
        <v>64.843172384735411</v>
      </c>
      <c r="H18" s="27">
        <v>69.225390409930199</v>
      </c>
      <c r="I18" s="26">
        <v>73.94025171471192</v>
      </c>
      <c r="J18" s="28"/>
      <c r="K18" s="28"/>
      <c r="L18" s="28"/>
      <c r="M18" s="28"/>
      <c r="N18" s="29"/>
    </row>
    <row r="19" spans="2:21" x14ac:dyDescent="0.25">
      <c r="B19" s="5"/>
      <c r="C19" s="23"/>
      <c r="D19" s="55">
        <v>0.1</v>
      </c>
      <c r="E19" s="26">
        <v>72.436704897317924</v>
      </c>
      <c r="F19" s="27">
        <v>77.674691589893072</v>
      </c>
      <c r="G19" s="27">
        <v>83.327726348544019</v>
      </c>
      <c r="H19" s="27">
        <v>89.426552657237721</v>
      </c>
      <c r="I19" s="26">
        <v>96.003936817321872</v>
      </c>
      <c r="J19" s="8"/>
      <c r="K19" s="8"/>
      <c r="L19" s="8"/>
      <c r="M19" s="8"/>
      <c r="N19" s="10"/>
    </row>
    <row r="20" spans="2:21" x14ac:dyDescent="0.25">
      <c r="B20" s="30"/>
      <c r="C20" s="31"/>
      <c r="D20" s="56">
        <v>0.08</v>
      </c>
      <c r="E20" s="32">
        <v>100.30770320071281</v>
      </c>
      <c r="F20" s="32">
        <v>108.23782997206941</v>
      </c>
      <c r="G20" s="32">
        <v>116.81895803428726</v>
      </c>
      <c r="H20" s="32">
        <v>126.10018649810127</v>
      </c>
      <c r="I20" s="32">
        <v>136.1338799421238</v>
      </c>
      <c r="J20" s="33"/>
      <c r="K20" s="33"/>
      <c r="L20" s="33"/>
      <c r="M20" s="33"/>
      <c r="N20" s="34"/>
    </row>
  </sheetData>
  <mergeCells count="2">
    <mergeCell ref="P2:R2"/>
    <mergeCell ref="T2:U2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DCF速算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刘成岗Leo</dc:creator>
  <cp:lastModifiedBy>pc</cp:lastModifiedBy>
  <dcterms:created xsi:type="dcterms:W3CDTF">2020-11-02T06:31:47Z</dcterms:created>
  <dcterms:modified xsi:type="dcterms:W3CDTF">2020-11-24T15:34:32Z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8d402990-542c-4bcc-8cda-d64594b5130a</vt:lpwstr>
  </property>
</Properties>
</file>