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tables/table6.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nicky\OneDrive\Desktop\Nicholas Chai Excel Portfolio\"/>
    </mc:Choice>
  </mc:AlternateContent>
  <xr:revisionPtr revIDLastSave="0" documentId="13_ncr:1_{F187B638-EECC-4529-B6FF-BD2059F95BDA}" xr6:coauthVersionLast="47" xr6:coauthVersionMax="47" xr10:uidLastSave="{00000000-0000-0000-0000-000000000000}"/>
  <bookViews>
    <workbookView xWindow="-108" yWindow="-108" windowWidth="23256" windowHeight="12456" xr2:uid="{00000000-000D-0000-FFFF-FFFF00000000}"/>
  </bookViews>
  <sheets>
    <sheet name="Dashboard" sheetId="3" r:id="rId1"/>
    <sheet name="Memo" sheetId="2" r:id="rId2"/>
    <sheet name="FMSA" sheetId="1" r:id="rId3"/>
    <sheet name="NPV" sheetId="4" r:id="rId4"/>
    <sheet name="IRR" sheetId="7" r:id="rId5"/>
    <sheet name="Net income " sheetId="8" r:id="rId6"/>
    <sheet name="Revenue Growth % " sheetId="10" r:id="rId7"/>
    <sheet name="COGS % Revenue" sheetId="14" r:id="rId8"/>
    <sheet name="R&amp;D % Revenue " sheetId="18" r:id="rId9"/>
  </sheets>
  <definedNames>
    <definedName name="Company_Name" localSheetId="2">FMSA!$E$8</definedName>
    <definedName name="Days_In_Year" localSheetId="2">FMSA!$M$6</definedName>
    <definedName name="Debt_Amount" localSheetId="2">FMSA!$M$7</definedName>
    <definedName name="Debt_Date" localSheetId="2">FMSA!$I$8</definedName>
    <definedName name="Enterprise_Value" localSheetId="2">FMSA!$E$20</definedName>
    <definedName name="Equity_Value" localSheetId="2">FMSA!$E$14</definedName>
    <definedName name="Hist_Year" localSheetId="2">FMSA!$I$7</definedName>
    <definedName name="_xlnm.Print_Area" localSheetId="0">Dashboard!$A$1:$V$68</definedName>
    <definedName name="Share_Price" localSheetId="2">FMSA!$E$9</definedName>
    <definedName name="Tax_Rate" localSheetId="2">FMSA!$M$8</definedName>
    <definedName name="Units" localSheetId="2">FMSA!$I$9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 i="1" l="1"/>
  <c r="F102" i="1"/>
  <c r="F68" i="1"/>
  <c r="F66" i="1"/>
  <c r="G66" i="1"/>
  <c r="F67" i="1"/>
  <c r="F59" i="1"/>
  <c r="J179" i="1"/>
  <c r="M50" i="1"/>
  <c r="L50" i="1"/>
  <c r="K50" i="1"/>
  <c r="J50" i="1"/>
  <c r="I50" i="1"/>
  <c r="M49" i="1"/>
  <c r="L49" i="1"/>
  <c r="K49" i="1"/>
  <c r="J49" i="1"/>
  <c r="I49" i="1"/>
  <c r="M48" i="1"/>
  <c r="L48" i="1"/>
  <c r="K48" i="1"/>
  <c r="J48" i="1"/>
  <c r="I48" i="1"/>
  <c r="M51" i="1"/>
  <c r="L51" i="1"/>
  <c r="K51" i="1"/>
  <c r="J51" i="1"/>
  <c r="I51" i="1"/>
  <c r="H184" i="1" l="1"/>
  <c r="G184" i="1"/>
  <c r="F184" i="1"/>
  <c r="J183" i="1"/>
  <c r="K183" i="1" s="1"/>
  <c r="L183" i="1" s="1"/>
  <c r="M183" i="1" s="1"/>
  <c r="J181" i="1"/>
  <c r="J180" i="1"/>
  <c r="K180" i="1" s="1"/>
  <c r="L180" i="1" s="1"/>
  <c r="M180" i="1" s="1"/>
  <c r="J178" i="1"/>
  <c r="K178" i="1" s="1"/>
  <c r="J174" i="1"/>
  <c r="K174" i="1" s="1"/>
  <c r="L174" i="1" s="1"/>
  <c r="M174" i="1" s="1"/>
  <c r="G174" i="1"/>
  <c r="J173" i="1"/>
  <c r="K173" i="1" s="1"/>
  <c r="L173" i="1" s="1"/>
  <c r="M173" i="1" s="1"/>
  <c r="J171" i="1"/>
  <c r="K171" i="1" s="1"/>
  <c r="L171" i="1" s="1"/>
  <c r="M171" i="1" s="1"/>
  <c r="J170" i="1"/>
  <c r="K170" i="1" s="1"/>
  <c r="L170" i="1" s="1"/>
  <c r="M170" i="1" s="1"/>
  <c r="H170" i="1"/>
  <c r="H175" i="1" s="1"/>
  <c r="G170" i="1"/>
  <c r="F170" i="1"/>
  <c r="F175" i="1" s="1"/>
  <c r="J169" i="1"/>
  <c r="K169" i="1" s="1"/>
  <c r="L169" i="1" s="1"/>
  <c r="H165" i="1"/>
  <c r="H164" i="1"/>
  <c r="H163" i="1"/>
  <c r="H162" i="1"/>
  <c r="H161" i="1"/>
  <c r="H160" i="1"/>
  <c r="H159" i="1"/>
  <c r="J157" i="1"/>
  <c r="K157" i="1" s="1"/>
  <c r="L157" i="1" s="1"/>
  <c r="M157" i="1" s="1"/>
  <c r="J156" i="1"/>
  <c r="K156" i="1" s="1"/>
  <c r="L156" i="1" s="1"/>
  <c r="M156" i="1" s="1"/>
  <c r="H155" i="1"/>
  <c r="H139" i="1" s="1"/>
  <c r="G155" i="1"/>
  <c r="F155" i="1"/>
  <c r="H154" i="1"/>
  <c r="H120" i="1" s="1"/>
  <c r="G154" i="1"/>
  <c r="F154" i="1"/>
  <c r="H153" i="1"/>
  <c r="H118" i="1" s="1"/>
  <c r="G153" i="1"/>
  <c r="F153" i="1"/>
  <c r="G143" i="1"/>
  <c r="H142" i="1"/>
  <c r="I142" i="1" s="1"/>
  <c r="H140" i="1"/>
  <c r="I140" i="1" s="1"/>
  <c r="J140" i="1" s="1"/>
  <c r="H138" i="1"/>
  <c r="I138" i="1" s="1"/>
  <c r="I134" i="1"/>
  <c r="J134" i="1" s="1"/>
  <c r="K134" i="1" s="1"/>
  <c r="L134" i="1" s="1"/>
  <c r="M134" i="1" s="1"/>
  <c r="H129" i="1"/>
  <c r="H135" i="1" s="1"/>
  <c r="G129" i="1"/>
  <c r="G135" i="1" s="1"/>
  <c r="I121" i="1"/>
  <c r="J121" i="1" s="1"/>
  <c r="H119" i="1"/>
  <c r="I119" i="1" s="1"/>
  <c r="J119" i="1" s="1"/>
  <c r="K119" i="1" s="1"/>
  <c r="L119" i="1" s="1"/>
  <c r="M119" i="1" s="1"/>
  <c r="H117" i="1"/>
  <c r="I117" i="1" s="1"/>
  <c r="I113" i="1"/>
  <c r="H112" i="1"/>
  <c r="I112" i="1" s="1"/>
  <c r="I97" i="1"/>
  <c r="J97" i="1" s="1"/>
  <c r="K97" i="1" s="1"/>
  <c r="L97" i="1" s="1"/>
  <c r="M97" i="1" s="1"/>
  <c r="J90" i="1"/>
  <c r="K90" i="1" s="1"/>
  <c r="L90" i="1" s="1"/>
  <c r="M90" i="1" s="1"/>
  <c r="M84" i="1"/>
  <c r="M154" i="1" s="1"/>
  <c r="L84" i="1"/>
  <c r="L154" i="1" s="1"/>
  <c r="K84" i="1"/>
  <c r="K154" i="1" s="1"/>
  <c r="J84" i="1"/>
  <c r="J154" i="1" s="1"/>
  <c r="I84" i="1"/>
  <c r="I154" i="1" s="1"/>
  <c r="H80" i="1"/>
  <c r="H51" i="1" s="1"/>
  <c r="G80" i="1"/>
  <c r="G51" i="1" s="1"/>
  <c r="F80" i="1"/>
  <c r="H79" i="1"/>
  <c r="G79" i="1"/>
  <c r="F79" i="1"/>
  <c r="H76" i="1"/>
  <c r="H77" i="1" s="1"/>
  <c r="G76" i="1"/>
  <c r="G77" i="1" s="1"/>
  <c r="F76" i="1"/>
  <c r="I75" i="1"/>
  <c r="I80" i="1" s="1"/>
  <c r="H70" i="1"/>
  <c r="I70" i="1" s="1"/>
  <c r="G70" i="1"/>
  <c r="F70" i="1"/>
  <c r="H68" i="1"/>
  <c r="I68" i="1" s="1"/>
  <c r="G68" i="1"/>
  <c r="H67" i="1"/>
  <c r="I67" i="1" s="1"/>
  <c r="G67" i="1"/>
  <c r="H59" i="1"/>
  <c r="H60" i="1" s="1"/>
  <c r="I60" i="1" s="1"/>
  <c r="G59" i="1"/>
  <c r="G60" i="1" s="1"/>
  <c r="M57" i="1"/>
  <c r="L57" i="1"/>
  <c r="K57" i="1"/>
  <c r="J57" i="1"/>
  <c r="I57" i="1"/>
  <c r="I56" i="1"/>
  <c r="H54" i="1"/>
  <c r="I54" i="1" s="1"/>
  <c r="G54" i="1"/>
  <c r="F54" i="1"/>
  <c r="H53" i="1"/>
  <c r="I53" i="1" s="1"/>
  <c r="G53" i="1"/>
  <c r="F53" i="1"/>
  <c r="H50" i="1"/>
  <c r="H48" i="1"/>
  <c r="G48" i="1"/>
  <c r="F48" i="1"/>
  <c r="M46" i="1"/>
  <c r="L46" i="1"/>
  <c r="K46" i="1"/>
  <c r="J46" i="1"/>
  <c r="I46" i="1"/>
  <c r="M41" i="1"/>
  <c r="L41" i="1"/>
  <c r="K41" i="1"/>
  <c r="J41" i="1"/>
  <c r="I41" i="1"/>
  <c r="I36" i="1"/>
  <c r="F36" i="1"/>
  <c r="M24" i="1"/>
  <c r="L24" i="1"/>
  <c r="K24" i="1"/>
  <c r="K37" i="1" s="1"/>
  <c r="J24" i="1"/>
  <c r="I24" i="1"/>
  <c r="I105" i="1" s="1"/>
  <c r="H24" i="1"/>
  <c r="H73" i="1" s="1"/>
  <c r="G24" i="1"/>
  <c r="G73" i="1" s="1"/>
  <c r="F24" i="1"/>
  <c r="F73" i="1" s="1"/>
  <c r="H23" i="1"/>
  <c r="G23" i="1" s="1"/>
  <c r="F23" i="1" s="1"/>
  <c r="E16" i="1"/>
  <c r="J20" i="1"/>
  <c r="E14" i="1" s="1"/>
  <c r="M12" i="1"/>
  <c r="E12" i="1"/>
  <c r="M11" i="1"/>
  <c r="F50" i="1" l="1"/>
  <c r="F63" i="1"/>
  <c r="F51" i="1"/>
  <c r="F64" i="1"/>
  <c r="F77" i="1"/>
  <c r="F61" i="1" s="1"/>
  <c r="F60" i="1"/>
  <c r="J112" i="1"/>
  <c r="K112" i="1" s="1"/>
  <c r="L112" i="1" s="1"/>
  <c r="G175" i="1"/>
  <c r="G49" i="1"/>
  <c r="F49" i="1"/>
  <c r="G61" i="1"/>
  <c r="G64" i="1"/>
  <c r="G65" i="1" s="1"/>
  <c r="I120" i="1"/>
  <c r="J120" i="1" s="1"/>
  <c r="K120" i="1" s="1"/>
  <c r="L120" i="1" s="1"/>
  <c r="M120" i="1" s="1"/>
  <c r="G81" i="1"/>
  <c r="J117" i="1"/>
  <c r="K117" i="1" s="1"/>
  <c r="L117" i="1" s="1"/>
  <c r="M117" i="1" s="1"/>
  <c r="M112" i="1"/>
  <c r="G37" i="1"/>
  <c r="I83" i="1"/>
  <c r="I153" i="1" s="1"/>
  <c r="J75" i="1"/>
  <c r="J76" i="1" s="1"/>
  <c r="I85" i="1"/>
  <c r="I155" i="1" s="1"/>
  <c r="I139" i="1" s="1"/>
  <c r="I128" i="1"/>
  <c r="J67" i="1"/>
  <c r="H49" i="1"/>
  <c r="H61" i="1"/>
  <c r="I61" i="1" s="1"/>
  <c r="J61" i="1" s="1"/>
  <c r="H81" i="1"/>
  <c r="H66" i="1" s="1"/>
  <c r="I66" i="1" s="1"/>
  <c r="J66" i="1" s="1"/>
  <c r="G50" i="1"/>
  <c r="H64" i="1"/>
  <c r="H65" i="1" s="1"/>
  <c r="I65" i="1" s="1"/>
  <c r="I64" i="1" s="1"/>
  <c r="F81" i="1"/>
  <c r="H109" i="1"/>
  <c r="I109" i="1" s="1"/>
  <c r="J109" i="1" s="1"/>
  <c r="K109" i="1" s="1"/>
  <c r="L109" i="1" s="1"/>
  <c r="I59" i="1"/>
  <c r="I110" i="1" s="1"/>
  <c r="J60" i="1"/>
  <c r="L150" i="1"/>
  <c r="L105" i="1"/>
  <c r="L73" i="1"/>
  <c r="I23" i="1"/>
  <c r="I150" i="1"/>
  <c r="I73" i="1"/>
  <c r="M150" i="1"/>
  <c r="M105" i="1"/>
  <c r="M73" i="1"/>
  <c r="H37" i="1"/>
  <c r="L37" i="1"/>
  <c r="J53" i="1"/>
  <c r="J54" i="1"/>
  <c r="I132" i="1"/>
  <c r="J68" i="1"/>
  <c r="M169" i="1"/>
  <c r="K179" i="1"/>
  <c r="L179" i="1" s="1"/>
  <c r="M179" i="1" s="1"/>
  <c r="J138" i="1"/>
  <c r="J142" i="1"/>
  <c r="K181" i="1"/>
  <c r="L181" i="1" s="1"/>
  <c r="M181" i="1" s="1"/>
  <c r="J150" i="1"/>
  <c r="J73" i="1"/>
  <c r="J105" i="1"/>
  <c r="I37" i="1"/>
  <c r="M37" i="1"/>
  <c r="J56" i="1"/>
  <c r="I172" i="1"/>
  <c r="J70" i="1"/>
  <c r="H150" i="1"/>
  <c r="H105" i="1"/>
  <c r="G150" i="1"/>
  <c r="G105" i="1"/>
  <c r="K150" i="1"/>
  <c r="K105" i="1"/>
  <c r="F37" i="1"/>
  <c r="J37" i="1"/>
  <c r="K73" i="1"/>
  <c r="F150" i="1"/>
  <c r="G145" i="1"/>
  <c r="I162" i="1"/>
  <c r="I76" i="1"/>
  <c r="I79" i="1"/>
  <c r="I81" i="1" s="1"/>
  <c r="J113" i="1"/>
  <c r="I161" i="1"/>
  <c r="K121" i="1"/>
  <c r="K162" i="1" s="1"/>
  <c r="J162" i="1"/>
  <c r="L178" i="1"/>
  <c r="M109" i="1" l="1"/>
  <c r="F87" i="1"/>
  <c r="F65" i="1"/>
  <c r="F100" i="1"/>
  <c r="F99" i="1"/>
  <c r="G87" i="1"/>
  <c r="K142" i="1"/>
  <c r="L142" i="1" s="1"/>
  <c r="M142" i="1" s="1"/>
  <c r="F91" i="1"/>
  <c r="F94" i="1" s="1"/>
  <c r="I127" i="1"/>
  <c r="I165" i="1" s="1"/>
  <c r="I111" i="1"/>
  <c r="I160" i="1" s="1"/>
  <c r="J65" i="1"/>
  <c r="J64" i="1" s="1"/>
  <c r="J126" i="1" s="1"/>
  <c r="J77" i="1"/>
  <c r="J79" i="1"/>
  <c r="J80" i="1"/>
  <c r="K75" i="1"/>
  <c r="K79" i="1" s="1"/>
  <c r="I77" i="1"/>
  <c r="I87" i="1" s="1"/>
  <c r="I99" i="1" s="1"/>
  <c r="I164" i="1"/>
  <c r="J128" i="1"/>
  <c r="K67" i="1"/>
  <c r="H87" i="1"/>
  <c r="K66" i="1"/>
  <c r="I126" i="1"/>
  <c r="I159" i="1"/>
  <c r="K113" i="1"/>
  <c r="K56" i="1"/>
  <c r="K140" i="1"/>
  <c r="L140" i="1" s="1"/>
  <c r="M140" i="1" s="1"/>
  <c r="M178" i="1"/>
  <c r="J161" i="1"/>
  <c r="J172" i="1"/>
  <c r="J175" i="1" s="1"/>
  <c r="K70" i="1"/>
  <c r="K138" i="1"/>
  <c r="F57" i="1"/>
  <c r="J132" i="1"/>
  <c r="K68" i="1"/>
  <c r="K54" i="1"/>
  <c r="J83" i="1"/>
  <c r="J153" i="1" s="1"/>
  <c r="G100" i="1"/>
  <c r="G99" i="1"/>
  <c r="G91" i="1"/>
  <c r="J111" i="1"/>
  <c r="K61" i="1"/>
  <c r="L121" i="1"/>
  <c r="I175" i="1"/>
  <c r="I118" i="1"/>
  <c r="J85" i="1"/>
  <c r="J155" i="1" s="1"/>
  <c r="J139" i="1" s="1"/>
  <c r="K53" i="1"/>
  <c r="I182" i="1"/>
  <c r="J23" i="1"/>
  <c r="K60" i="1"/>
  <c r="J59" i="1"/>
  <c r="J110" i="1" s="1"/>
  <c r="K65" i="1" l="1"/>
  <c r="J160" i="1"/>
  <c r="J81" i="1"/>
  <c r="J127" i="1" s="1"/>
  <c r="J165" i="1" s="1"/>
  <c r="L75" i="1"/>
  <c r="L76" i="1" s="1"/>
  <c r="L77" i="1" s="1"/>
  <c r="K76" i="1"/>
  <c r="K77" i="1" s="1"/>
  <c r="J118" i="1"/>
  <c r="K80" i="1"/>
  <c r="K81" i="1" s="1"/>
  <c r="K127" i="1" s="1"/>
  <c r="J164" i="1"/>
  <c r="I100" i="1"/>
  <c r="H100" i="1"/>
  <c r="H99" i="1"/>
  <c r="H91" i="1"/>
  <c r="L67" i="1"/>
  <c r="K128" i="1"/>
  <c r="K85" i="1"/>
  <c r="K155" i="1" s="1"/>
  <c r="K139" i="1" s="1"/>
  <c r="L53" i="1"/>
  <c r="M121" i="1"/>
  <c r="M162" i="1" s="1"/>
  <c r="G94" i="1"/>
  <c r="G57" i="1"/>
  <c r="K83" i="1"/>
  <c r="K153" i="1" s="1"/>
  <c r="L54" i="1"/>
  <c r="J163" i="1"/>
  <c r="L56" i="1"/>
  <c r="L161" i="1"/>
  <c r="L113" i="1"/>
  <c r="L66" i="1"/>
  <c r="L60" i="1"/>
  <c r="K59" i="1"/>
  <c r="K110" i="1" s="1"/>
  <c r="K159" i="1" s="1"/>
  <c r="L162" i="1"/>
  <c r="L68" i="1"/>
  <c r="K132" i="1"/>
  <c r="L138" i="1"/>
  <c r="K64" i="1"/>
  <c r="L65" i="1"/>
  <c r="L61" i="1"/>
  <c r="J182" i="1"/>
  <c r="J184" i="1" s="1"/>
  <c r="K23" i="1"/>
  <c r="J159" i="1"/>
  <c r="I184" i="1"/>
  <c r="I133" i="1"/>
  <c r="F96" i="1"/>
  <c r="F31" i="1" s="1"/>
  <c r="F152" i="1"/>
  <c r="F166" i="1" s="1"/>
  <c r="K172" i="1"/>
  <c r="K175" i="1" s="1"/>
  <c r="L70" i="1"/>
  <c r="K161" i="1"/>
  <c r="I129" i="1"/>
  <c r="I163" i="1"/>
  <c r="L80" i="1" l="1"/>
  <c r="I135" i="1"/>
  <c r="K165" i="1"/>
  <c r="J87" i="1"/>
  <c r="J99" i="1" s="1"/>
  <c r="L79" i="1"/>
  <c r="L81" i="1" s="1"/>
  <c r="L127" i="1" s="1"/>
  <c r="L165" i="1" s="1"/>
  <c r="K111" i="1"/>
  <c r="K160" i="1" s="1"/>
  <c r="J129" i="1"/>
  <c r="K126" i="1"/>
  <c r="K163" i="1" s="1"/>
  <c r="M75" i="1"/>
  <c r="M76" i="1" s="1"/>
  <c r="M77" i="1" s="1"/>
  <c r="K164" i="1"/>
  <c r="L128" i="1"/>
  <c r="M67" i="1"/>
  <c r="H94" i="1"/>
  <c r="H57" i="1"/>
  <c r="F101" i="1"/>
  <c r="F30" i="1" s="1"/>
  <c r="F186" i="1"/>
  <c r="M138" i="1"/>
  <c r="M56" i="1"/>
  <c r="L111" i="1"/>
  <c r="M61" i="1"/>
  <c r="M65" i="1"/>
  <c r="M64" i="1" s="1"/>
  <c r="L64" i="1"/>
  <c r="L126" i="1" s="1"/>
  <c r="M113" i="1"/>
  <c r="M161" i="1" s="1"/>
  <c r="K87" i="1"/>
  <c r="L172" i="1"/>
  <c r="L175" i="1" s="1"/>
  <c r="M70" i="1"/>
  <c r="K182" i="1"/>
  <c r="K184" i="1" s="1"/>
  <c r="L23" i="1"/>
  <c r="L132" i="1"/>
  <c r="M68" i="1"/>
  <c r="M60" i="1"/>
  <c r="M59" i="1" s="1"/>
  <c r="L59" i="1"/>
  <c r="L110" i="1" s="1"/>
  <c r="G152" i="1"/>
  <c r="G166" i="1" s="1"/>
  <c r="G96" i="1"/>
  <c r="G31" i="1" s="1"/>
  <c r="L85" i="1"/>
  <c r="L155" i="1" s="1"/>
  <c r="L139" i="1" s="1"/>
  <c r="M53" i="1"/>
  <c r="J133" i="1"/>
  <c r="I89" i="1"/>
  <c r="I91" i="1" s="1"/>
  <c r="K118" i="1"/>
  <c r="M66" i="1"/>
  <c r="L83" i="1"/>
  <c r="M54" i="1"/>
  <c r="J100" i="1" l="1"/>
  <c r="M110" i="1"/>
  <c r="M159" i="1" s="1"/>
  <c r="M132" i="1"/>
  <c r="K129" i="1"/>
  <c r="L160" i="1"/>
  <c r="M128" i="1"/>
  <c r="M85" i="1"/>
  <c r="M155" i="1" s="1"/>
  <c r="M139" i="1" s="1"/>
  <c r="M83" i="1"/>
  <c r="M153" i="1" s="1"/>
  <c r="M172" i="1"/>
  <c r="M175" i="1" s="1"/>
  <c r="M79" i="1"/>
  <c r="M80" i="1"/>
  <c r="L164" i="1"/>
  <c r="M111" i="1"/>
  <c r="M160" i="1" s="1"/>
  <c r="H96" i="1"/>
  <c r="H31" i="1" s="1"/>
  <c r="H152" i="1"/>
  <c r="H166" i="1" s="1"/>
  <c r="H141" i="1"/>
  <c r="H143" i="1" s="1"/>
  <c r="H145" i="1" s="1"/>
  <c r="M126" i="1"/>
  <c r="I92" i="1"/>
  <c r="I94" i="1" s="1"/>
  <c r="L159" i="1"/>
  <c r="L153" i="1"/>
  <c r="L118" i="1" s="1"/>
  <c r="L87" i="1"/>
  <c r="K133" i="1"/>
  <c r="K89" i="1"/>
  <c r="K91" i="1" s="1"/>
  <c r="G101" i="1"/>
  <c r="G30" i="1" s="1"/>
  <c r="G186" i="1"/>
  <c r="G187" i="1" s="1"/>
  <c r="G108" i="1" s="1"/>
  <c r="L182" i="1"/>
  <c r="L184" i="1" s="1"/>
  <c r="M23" i="1"/>
  <c r="M182" i="1" s="1"/>
  <c r="M184" i="1" s="1"/>
  <c r="K99" i="1"/>
  <c r="K100" i="1"/>
  <c r="J135" i="1"/>
  <c r="L163" i="1"/>
  <c r="L129" i="1"/>
  <c r="J89" i="1"/>
  <c r="J91" i="1" s="1"/>
  <c r="K135" i="1" l="1"/>
  <c r="M164" i="1"/>
  <c r="M81" i="1"/>
  <c r="M127" i="1" s="1"/>
  <c r="M165" i="1" s="1"/>
  <c r="M163" i="1"/>
  <c r="H101" i="1"/>
  <c r="H30" i="1" s="1"/>
  <c r="H186" i="1"/>
  <c r="H187" i="1" s="1"/>
  <c r="H108" i="1" s="1"/>
  <c r="M118" i="1"/>
  <c r="I96" i="1"/>
  <c r="I31" i="1" s="1"/>
  <c r="I152" i="1"/>
  <c r="I166" i="1" s="1"/>
  <c r="I141" i="1"/>
  <c r="K92" i="1"/>
  <c r="K94" i="1" s="1"/>
  <c r="J92" i="1"/>
  <c r="J94" i="1" s="1"/>
  <c r="G114" i="1"/>
  <c r="G122" i="1" s="1"/>
  <c r="L133" i="1"/>
  <c r="L89" i="1"/>
  <c r="L91" i="1" s="1"/>
  <c r="L99" i="1"/>
  <c r="L100" i="1"/>
  <c r="M129" i="1" l="1"/>
  <c r="M87" i="1"/>
  <c r="M100" i="1" s="1"/>
  <c r="K152" i="1"/>
  <c r="K166" i="1" s="1"/>
  <c r="K96" i="1"/>
  <c r="K31" i="1" s="1"/>
  <c r="L92" i="1"/>
  <c r="L94" i="1" s="1"/>
  <c r="J152" i="1"/>
  <c r="J166" i="1" s="1"/>
  <c r="J96" i="1"/>
  <c r="J31" i="1" s="1"/>
  <c r="M133" i="1"/>
  <c r="L135" i="1"/>
  <c r="J141" i="1"/>
  <c r="I143" i="1"/>
  <c r="I145" i="1" s="1"/>
  <c r="I101" i="1"/>
  <c r="I186" i="1"/>
  <c r="I187" i="1" s="1"/>
  <c r="I108" i="1" s="1"/>
  <c r="G102" i="1"/>
  <c r="G32" i="1" s="1"/>
  <c r="G147" i="1"/>
  <c r="H114" i="1"/>
  <c r="H122" i="1" s="1"/>
  <c r="E15" i="1"/>
  <c r="E20" i="1" s="1"/>
  <c r="M135" i="1" l="1"/>
  <c r="I30" i="1"/>
  <c r="M99" i="1"/>
  <c r="M27" i="1" s="1"/>
  <c r="I114" i="1"/>
  <c r="I122" i="1" s="1"/>
  <c r="L152" i="1"/>
  <c r="L166" i="1" s="1"/>
  <c r="L96" i="1"/>
  <c r="L31" i="1" s="1"/>
  <c r="M89" i="1"/>
  <c r="M91" i="1" s="1"/>
  <c r="K28" i="1"/>
  <c r="G28" i="1"/>
  <c r="K27" i="1"/>
  <c r="G27" i="1"/>
  <c r="K26" i="1"/>
  <c r="G26" i="1"/>
  <c r="H28" i="1"/>
  <c r="L26" i="1"/>
  <c r="J28" i="1"/>
  <c r="F28" i="1"/>
  <c r="J27" i="1"/>
  <c r="F27" i="1"/>
  <c r="J26" i="1"/>
  <c r="F26" i="1"/>
  <c r="L28" i="1"/>
  <c r="H27" i="1"/>
  <c r="H26" i="1"/>
  <c r="M28" i="1"/>
  <c r="I28" i="1"/>
  <c r="I27" i="1"/>
  <c r="M26" i="1"/>
  <c r="I26" i="1"/>
  <c r="L27" i="1"/>
  <c r="K141" i="1"/>
  <c r="J143" i="1"/>
  <c r="J145" i="1" s="1"/>
  <c r="H147" i="1"/>
  <c r="H102" i="1"/>
  <c r="H32" i="1" s="1"/>
  <c r="J101" i="1"/>
  <c r="J30" i="1" s="1"/>
  <c r="J186" i="1"/>
  <c r="J187" i="1" s="1"/>
  <c r="J108" i="1" s="1"/>
  <c r="K101" i="1"/>
  <c r="K30" i="1" s="1"/>
  <c r="K186" i="1"/>
  <c r="K187" i="1" l="1"/>
  <c r="K108" i="1" s="1"/>
  <c r="J114" i="1"/>
  <c r="J122" i="1" s="1"/>
  <c r="L141" i="1"/>
  <c r="K143" i="1"/>
  <c r="K145" i="1" s="1"/>
  <c r="L101" i="1"/>
  <c r="L30" i="1" s="1"/>
  <c r="L186" i="1"/>
  <c r="M92" i="1"/>
  <c r="M94" i="1" s="1"/>
  <c r="I102" i="1"/>
  <c r="I32" i="1" s="1"/>
  <c r="I147" i="1"/>
  <c r="M152" i="1" l="1"/>
  <c r="M166" i="1" s="1"/>
  <c r="M96" i="1"/>
  <c r="M31" i="1" s="1"/>
  <c r="M141" i="1"/>
  <c r="M143" i="1" s="1"/>
  <c r="M145" i="1" s="1"/>
  <c r="L143" i="1"/>
  <c r="L145" i="1" s="1"/>
  <c r="J147" i="1"/>
  <c r="J102" i="1"/>
  <c r="J32" i="1" s="1"/>
  <c r="K114" i="1"/>
  <c r="K122" i="1" s="1"/>
  <c r="L187" i="1"/>
  <c r="L108" i="1" s="1"/>
  <c r="L114" i="1" l="1"/>
  <c r="L122" i="1" s="1"/>
  <c r="K102" i="1"/>
  <c r="K32" i="1" s="1"/>
  <c r="K147" i="1"/>
  <c r="M101" i="1"/>
  <c r="M186" i="1"/>
  <c r="M187" i="1" s="1"/>
  <c r="M108" i="1" s="1"/>
  <c r="M114" i="1" s="1"/>
  <c r="M122" i="1" s="1"/>
  <c r="M30" i="1" l="1"/>
  <c r="M18" i="1"/>
  <c r="L18" i="1"/>
  <c r="M147" i="1"/>
  <c r="M102" i="1"/>
  <c r="M32" i="1" s="1"/>
  <c r="L147" i="1"/>
  <c r="L102" i="1"/>
  <c r="L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McDonald</author>
    <author>Michael Nugent</author>
  </authors>
  <commentList>
    <comment ref="K12" authorId="0" shapeId="0" xr:uid="{00000000-0006-0000-0100-000001000000}">
      <text>
        <r>
          <rPr>
            <b/>
            <sz val="9"/>
            <color rgb="FF000000"/>
            <rFont val="Tahoma"/>
            <family val="2"/>
          </rPr>
          <t>Michael McDonald:</t>
        </r>
        <r>
          <rPr>
            <sz val="9"/>
            <color rgb="FF000000"/>
            <rFont val="Tahoma"/>
            <family val="2"/>
          </rPr>
          <t xml:space="preserve">
</t>
        </r>
        <r>
          <rPr>
            <sz val="9"/>
            <color rgb="FF000000"/>
            <rFont val="Tahoma"/>
            <family val="2"/>
          </rPr>
          <t xml:space="preserve">1 = Top Down
</t>
        </r>
        <r>
          <rPr>
            <sz val="9"/>
            <color rgb="FF000000"/>
            <rFont val="Tahoma"/>
            <family val="2"/>
          </rPr>
          <t xml:space="preserve">2 = Bottom Up
</t>
        </r>
        <r>
          <rPr>
            <sz val="9"/>
            <color rgb="FF000000"/>
            <rFont val="Tahoma"/>
            <family val="2"/>
          </rPr>
          <t>3 = CAGR</t>
        </r>
      </text>
    </comment>
    <comment ref="L15" authorId="1" shapeId="0" xr:uid="{00000000-0006-0000-0100-000003000000}">
      <text>
        <r>
          <rPr>
            <b/>
            <sz val="9"/>
            <color rgb="FF000000"/>
            <rFont val="Tahoma"/>
            <family val="2"/>
          </rPr>
          <t>Michael Nugent:</t>
        </r>
        <r>
          <rPr>
            <sz val="9"/>
            <color rgb="FF000000"/>
            <rFont val="Tahoma"/>
            <family val="2"/>
          </rPr>
          <t xml:space="preserve">
</t>
        </r>
        <r>
          <rPr>
            <sz val="10.5"/>
            <color rgb="FF000000"/>
            <rFont val="Tahoma"/>
            <family val="2"/>
          </rPr>
          <t>Use Data Validation here for 1 2 3. (dropdown box)</t>
        </r>
      </text>
    </comment>
    <comment ref="K17" authorId="1" shapeId="0" xr:uid="{00000000-0006-0000-0100-000004000000}">
      <text>
        <r>
          <rPr>
            <b/>
            <sz val="9"/>
            <color rgb="FF000000"/>
            <rFont val="Tahoma"/>
            <family val="2"/>
          </rPr>
          <t>Michael Nugent:</t>
        </r>
        <r>
          <rPr>
            <sz val="9"/>
            <color rgb="FF000000"/>
            <rFont val="Tahoma"/>
            <family val="2"/>
          </rPr>
          <t xml:space="preserve">
</t>
        </r>
        <r>
          <rPr>
            <sz val="9"/>
            <color rgb="FF000000"/>
            <rFont val="Tahoma"/>
            <family val="2"/>
          </rPr>
          <t xml:space="preserve">Comment:
</t>
        </r>
        <r>
          <rPr>
            <sz val="9"/>
            <color rgb="FF000000"/>
            <rFont val="Tahoma"/>
            <family val="2"/>
          </rPr>
          <t>Use the Interest rate in Cell M9 to calculate NPV and IRR. Use Leveraged Free Cash Flow from Row 101.</t>
        </r>
      </text>
    </comment>
  </commentList>
</comments>
</file>

<file path=xl/sharedStrings.xml><?xml version="1.0" encoding="utf-8"?>
<sst xmlns="http://schemas.openxmlformats.org/spreadsheetml/2006/main" count="260" uniqueCount="184">
  <si>
    <t>EXECUTIVE SUMMARY</t>
  </si>
  <si>
    <t>DASHBOARD</t>
  </si>
  <si>
    <t>Scenario Information</t>
  </si>
  <si>
    <t>Scenario 1</t>
  </si>
  <si>
    <t>FY 2018E</t>
  </si>
  <si>
    <t>FY 2019E</t>
  </si>
  <si>
    <t>FY 2020E</t>
  </si>
  <si>
    <t>FY 2021E</t>
  </si>
  <si>
    <t>FY 2022E</t>
  </si>
  <si>
    <t>Revenue Growth %:</t>
  </si>
  <si>
    <t>COGS % Revenue:</t>
  </si>
  <si>
    <t>R&amp;D % Revenue:</t>
  </si>
  <si>
    <t>SG&amp;A % Revenue:</t>
  </si>
  <si>
    <t>Scenario 2</t>
  </si>
  <si>
    <t>Financial Model Scenario Analysis</t>
  </si>
  <si>
    <t>($ in Millions, Except Per Share Amounts in Dollars and Share Counts in Thousands)</t>
  </si>
  <si>
    <t>Assumptions &amp; Valuation Overview</t>
  </si>
  <si>
    <t>Days in Year:</t>
  </si>
  <si>
    <t>Valuation Date:</t>
  </si>
  <si>
    <t>Last Historical Year:</t>
  </si>
  <si>
    <t>Debt Amount:</t>
  </si>
  <si>
    <t>Company Name:</t>
  </si>
  <si>
    <t>Acme Inc.</t>
  </si>
  <si>
    <t>Debt Issue Date:</t>
  </si>
  <si>
    <t>Tax Rate:</t>
  </si>
  <si>
    <t>Share Price:</t>
  </si>
  <si>
    <t>Share Units:</t>
  </si>
  <si>
    <t>Interest Rate:</t>
  </si>
  <si>
    <t>Annual Rate Change:</t>
  </si>
  <si>
    <t>Basic Shares Outstanding:</t>
  </si>
  <si>
    <t>Options Calculations:</t>
  </si>
  <si>
    <t>CAGR</t>
  </si>
  <si>
    <t>Basic Equity Value:</t>
  </si>
  <si>
    <t>Forecast Method</t>
  </si>
  <si>
    <t>Diluted Shares Outstanding:</t>
  </si>
  <si>
    <t>Exercise</t>
  </si>
  <si>
    <t>Diluted Equity Value:</t>
  </si>
  <si>
    <t>Name</t>
  </si>
  <si>
    <t>Number</t>
  </si>
  <si>
    <t>Price</t>
  </si>
  <si>
    <t>Dilution</t>
  </si>
  <si>
    <t>Scenario</t>
  </si>
  <si>
    <t>Less: Cash &amp; Investments</t>
  </si>
  <si>
    <t>Tranche A</t>
  </si>
  <si>
    <t>Plus: Debt</t>
  </si>
  <si>
    <t>Tranche B</t>
  </si>
  <si>
    <t>Plus: Minority Interest</t>
  </si>
  <si>
    <t>Tranche C</t>
  </si>
  <si>
    <t>NPV</t>
  </si>
  <si>
    <t>IRR</t>
  </si>
  <si>
    <t>Plus: Preferred Stock</t>
  </si>
  <si>
    <t>Tranche D</t>
  </si>
  <si>
    <t xml:space="preserve">Scenario </t>
  </si>
  <si>
    <t>Plus: Other Liabilities</t>
  </si>
  <si>
    <t>Tranche E</t>
  </si>
  <si>
    <t>Enterprise Value:</t>
  </si>
  <si>
    <t>Total</t>
  </si>
  <si>
    <t>Historical</t>
  </si>
  <si>
    <t>Projections</t>
  </si>
  <si>
    <t>EV / Revenue:</t>
  </si>
  <si>
    <t>EV / EBIT:</t>
  </si>
  <si>
    <t>EV / EBITDA:</t>
  </si>
  <si>
    <t>Equity Value / FCF:</t>
  </si>
  <si>
    <t>P / E:</t>
  </si>
  <si>
    <t>P / BV:</t>
  </si>
  <si>
    <t>Operating Assumptions</t>
  </si>
  <si>
    <t>Scenario 3</t>
  </si>
  <si>
    <t>Total Market Sales</t>
  </si>
  <si>
    <t>Market Share Growth</t>
  </si>
  <si>
    <t>Order Value Growth</t>
  </si>
  <si>
    <t>Top Down Growth Rate</t>
  </si>
  <si>
    <t>Prospect Traffic Growth</t>
  </si>
  <si>
    <t>Conversion Rate Growth</t>
  </si>
  <si>
    <t>Price Growth</t>
  </si>
  <si>
    <t>Bottom Up Growth Rate</t>
  </si>
  <si>
    <t>Stock-Based Compensation % Revenue:</t>
  </si>
  <si>
    <t>Depreciation &amp; Amortization % Revenue:</t>
  </si>
  <si>
    <t>Effective Cash Interest Rate:</t>
  </si>
  <si>
    <t>Debt Interest Rate:</t>
  </si>
  <si>
    <t>Effective Tax Rate:</t>
  </si>
  <si>
    <t>Accounts Receivable % Revenue:</t>
  </si>
  <si>
    <t>Accounts Receivable Days:</t>
  </si>
  <si>
    <t>Inventory % COGS:</t>
  </si>
  <si>
    <t>Amortization of Intangibles:</t>
  </si>
  <si>
    <t>Accounts Payable % COGS:</t>
  </si>
  <si>
    <t>Accounts Payable Days:</t>
  </si>
  <si>
    <t>Accrued Expenses % Operating Expenses:</t>
  </si>
  <si>
    <t>Short-Term Deferred Revenue % Revenue:</t>
  </si>
  <si>
    <t>Long-Term Deferred Revenue % Revenue:</t>
  </si>
  <si>
    <t>CapEx % Revenue:</t>
  </si>
  <si>
    <t>Income Statement</t>
  </si>
  <si>
    <t>Revenue:</t>
  </si>
  <si>
    <t>Cost of Goods Sold:</t>
  </si>
  <si>
    <t>Gross Profit:</t>
  </si>
  <si>
    <t>Operating Expenses:</t>
  </si>
  <si>
    <t>Research &amp; Development:</t>
  </si>
  <si>
    <t>Selling, General &amp; Administrative:</t>
  </si>
  <si>
    <t>Total Operating Expenses:</t>
  </si>
  <si>
    <t>Depreciation &amp; Amortization of PP&amp;E:</t>
  </si>
  <si>
    <t>Stock-Based Compensation:</t>
  </si>
  <si>
    <t>Operating Income:</t>
  </si>
  <si>
    <t>Interest Income:</t>
  </si>
  <si>
    <t>Interest Expense:</t>
  </si>
  <si>
    <t>Other Income &amp; Expense:</t>
  </si>
  <si>
    <t>Pre-Tax Income:</t>
  </si>
  <si>
    <t>Income Tax Provision:</t>
  </si>
  <si>
    <t>Net Income:</t>
  </si>
  <si>
    <t>Earnings Per Share (EPS):</t>
  </si>
  <si>
    <t>EBIT:</t>
  </si>
  <si>
    <t>EBITDA:</t>
  </si>
  <si>
    <t>INVESTMENT</t>
  </si>
  <si>
    <t>Levered Free Cash Flow:</t>
  </si>
  <si>
    <t>Book Value Per Share (BV):</t>
  </si>
  <si>
    <t xml:space="preserve">YEAR 0 </t>
  </si>
  <si>
    <t>YEAR 1</t>
  </si>
  <si>
    <t>YEAR 2</t>
  </si>
  <si>
    <t>YEAR 3</t>
  </si>
  <si>
    <t>YEAR 4</t>
  </si>
  <si>
    <t>YEAR 5</t>
  </si>
  <si>
    <t>YEAR 6</t>
  </si>
  <si>
    <t>YEAR 7</t>
  </si>
  <si>
    <t>YEAR 8</t>
  </si>
  <si>
    <t>Balance Sheet</t>
  </si>
  <si>
    <t>Assets:</t>
  </si>
  <si>
    <t>Current Assets:</t>
  </si>
  <si>
    <t>Cash &amp; Cash-Equivalents:</t>
  </si>
  <si>
    <t>Short-Term Securities:</t>
  </si>
  <si>
    <t>Accounts Receivable:</t>
  </si>
  <si>
    <t>Inventory:</t>
  </si>
  <si>
    <t>Deferred Tax Assets:</t>
  </si>
  <si>
    <t>Other Current Assets:</t>
  </si>
  <si>
    <t>Total Current Assets:</t>
  </si>
  <si>
    <t>Long-Term Assets:</t>
  </si>
  <si>
    <t>Long-Term Securities:</t>
  </si>
  <si>
    <t>Plants, Property &amp; Equipment:</t>
  </si>
  <si>
    <t>Goodwill:</t>
  </si>
  <si>
    <t>Other Intangible Assets:</t>
  </si>
  <si>
    <t>Other Assets:</t>
  </si>
  <si>
    <t>Total Assets:</t>
  </si>
  <si>
    <t>Liabilities &amp; Shareholders' Equity:</t>
  </si>
  <si>
    <t>Current Liabilities:</t>
  </si>
  <si>
    <t>Accounts Payable:</t>
  </si>
  <si>
    <t>Accrued Expenses:</t>
  </si>
  <si>
    <t>Deferred Revenue:</t>
  </si>
  <si>
    <t>Total Current Liabilities:</t>
  </si>
  <si>
    <t>Long-Term Liabilities:</t>
  </si>
  <si>
    <t>Long-Term Debt:</t>
  </si>
  <si>
    <t>Other Long-Term Liabilities:</t>
  </si>
  <si>
    <t>Total Liabilities:</t>
  </si>
  <si>
    <t>Shareholders' Equity:</t>
  </si>
  <si>
    <t>Common Stock:</t>
  </si>
  <si>
    <t>Additional Paid-In Capital:</t>
  </si>
  <si>
    <t>Treasury Stock:</t>
  </si>
  <si>
    <t>Retained Earnings:</t>
  </si>
  <si>
    <t>Accumulated Other Comprehensive Income:</t>
  </si>
  <si>
    <t>Total Shareholders' Equity:</t>
  </si>
  <si>
    <t>Total Liabilities &amp; SE:</t>
  </si>
  <si>
    <t>BALANCE CHECK:</t>
  </si>
  <si>
    <t>Cash Flow Statement</t>
  </si>
  <si>
    <t>Operating Activities:</t>
  </si>
  <si>
    <t>Deferred Income Tax Expense:</t>
  </si>
  <si>
    <t>Loss on PP&amp;E:</t>
  </si>
  <si>
    <t>Changes in Operating Assets &amp; Liabilities:</t>
  </si>
  <si>
    <t>Other Liabilities:</t>
  </si>
  <si>
    <t>Cash Flow from Operations:</t>
  </si>
  <si>
    <t>Investing Activities:</t>
  </si>
  <si>
    <t>Purchases of Securities:</t>
  </si>
  <si>
    <t>Proceeds from Maturities &amp; Sales:</t>
  </si>
  <si>
    <t>Purchases of LT Investments:</t>
  </si>
  <si>
    <t>Capital Expenditures:</t>
  </si>
  <si>
    <t>Acquisition of Intangibles:</t>
  </si>
  <si>
    <t>Other:</t>
  </si>
  <si>
    <t>Cash Flow from Investing:</t>
  </si>
  <si>
    <t>Financing Activities:</t>
  </si>
  <si>
    <t>Proceeds from Common Stock:</t>
  </si>
  <si>
    <t>Common Stock Repurchased:</t>
  </si>
  <si>
    <t>Dividends Issued:</t>
  </si>
  <si>
    <t>Tax Benefits from Stock-Based Comp:</t>
  </si>
  <si>
    <t>Raise / (Pay Off) Long-Term Debt</t>
  </si>
  <si>
    <t>Cash Used for Equity Awards:</t>
  </si>
  <si>
    <t>Cash Flow from Financing:</t>
  </si>
  <si>
    <t>Increase / Decrease in Cash:</t>
  </si>
  <si>
    <t>Cash &amp; Cash Equivalents:</t>
  </si>
  <si>
    <t xml:space="preserve">Net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</si>
</sst>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164" formatCode="0.0\ \x"/>
    <numFmt numFmtId="165" formatCode="0.0%"/>
    <numFmt numFmtId="166" formatCode="#,##0.0"/>
    <numFmt numFmtId="167" formatCode="&quot;$&quot;#,##0"/>
    <numFmt numFmtId="168" formatCode="0.0%;[Red]\(0.0%\)"/>
    <numFmt numFmtId="169" formatCode="&quot;$&quot;#,##0.000_);[Red]\(&quot;$&quot;#,##0.000\)"/>
    <numFmt numFmtId="170" formatCode="&quot;$&quot;#,##0.00"/>
  </numFmts>
  <fonts count="36">
    <font>
      <sz val="12"/>
      <color theme="1"/>
      <name val="Calibri"/>
      <family val="2"/>
      <scheme val="minor"/>
    </font>
    <font>
      <sz val="12"/>
      <color theme="1"/>
      <name val="Calibri"/>
      <family val="2"/>
      <scheme val="minor"/>
    </font>
    <font>
      <b/>
      <sz val="11"/>
      <color theme="1"/>
      <name val="Calibri"/>
      <family val="2"/>
      <scheme val="minor"/>
    </font>
    <font>
      <b/>
      <sz val="9"/>
      <color rgb="FF000000"/>
      <name val="Tahoma"/>
      <family val="2"/>
    </font>
    <font>
      <sz val="9"/>
      <color rgb="FF000000"/>
      <name val="Tahoma"/>
      <family val="2"/>
    </font>
    <font>
      <b/>
      <sz val="11"/>
      <color indexed="9"/>
      <name val="Calibri"/>
      <family val="2"/>
      <scheme val="minor"/>
    </font>
    <font>
      <b/>
      <u/>
      <sz val="10"/>
      <color indexed="9"/>
      <name val="Arial"/>
      <family val="2"/>
    </font>
    <font>
      <u/>
      <sz val="10"/>
      <color indexed="9"/>
      <name val="Arial"/>
      <family val="2"/>
    </font>
    <font>
      <sz val="11"/>
      <color theme="4"/>
      <name val="Calibri"/>
      <family val="2"/>
      <scheme val="minor"/>
    </font>
    <font>
      <sz val="11"/>
      <name val="Calibri"/>
      <family val="2"/>
      <scheme val="minor"/>
    </font>
    <font>
      <sz val="11"/>
      <color theme="3" tint="0.39997558519241921"/>
      <name val="Calibri"/>
      <family val="2"/>
      <scheme val="minor"/>
    </font>
    <font>
      <sz val="16"/>
      <color theme="1"/>
      <name val="Calibri"/>
      <family val="2"/>
      <scheme val="minor"/>
    </font>
    <font>
      <b/>
      <sz val="11"/>
      <name val="Calibri"/>
      <family val="2"/>
      <scheme val="minor"/>
    </font>
    <font>
      <sz val="10"/>
      <name val="Arial"/>
      <family val="2"/>
    </font>
    <font>
      <sz val="11"/>
      <name val="Calibri"/>
      <family val="2"/>
    </font>
    <font>
      <i/>
      <sz val="11"/>
      <name val="Calibri"/>
      <family val="2"/>
      <scheme val="minor"/>
    </font>
    <font>
      <i/>
      <sz val="11"/>
      <color theme="1"/>
      <name val="Calibri"/>
      <family val="2"/>
      <scheme val="minor"/>
    </font>
    <font>
      <i/>
      <sz val="18"/>
      <color theme="4"/>
      <name val="Calibri"/>
      <family val="2"/>
      <scheme val="minor"/>
    </font>
    <font>
      <i/>
      <sz val="11"/>
      <color theme="4"/>
      <name val="Calibri"/>
      <family val="2"/>
      <scheme val="minor"/>
    </font>
    <font>
      <b/>
      <sz val="11"/>
      <color rgb="FF00B050"/>
      <name val="Calibri"/>
      <family val="2"/>
      <scheme val="minor"/>
    </font>
    <font>
      <b/>
      <sz val="11"/>
      <color theme="4"/>
      <name val="Calibri"/>
      <family val="2"/>
      <scheme val="minor"/>
    </font>
    <font>
      <b/>
      <sz val="16"/>
      <color theme="1"/>
      <name val="Calibri"/>
      <family val="2"/>
      <scheme val="minor"/>
    </font>
    <font>
      <sz val="11"/>
      <color rgb="FF00B050"/>
      <name val="Calibri"/>
      <family val="2"/>
      <scheme val="minor"/>
    </font>
    <font>
      <sz val="11"/>
      <color rgb="FF0070C0"/>
      <name val="Calibri"/>
      <family val="2"/>
      <scheme val="minor"/>
    </font>
    <font>
      <i/>
      <sz val="11"/>
      <color rgb="FF00B050"/>
      <name val="Calibri"/>
      <family val="2"/>
      <scheme val="minor"/>
    </font>
    <font>
      <b/>
      <i/>
      <sz val="11"/>
      <name val="Calibri"/>
      <family val="2"/>
      <scheme val="minor"/>
    </font>
    <font>
      <b/>
      <i/>
      <sz val="11"/>
      <color rgb="FF00B050"/>
      <name val="Calibri"/>
      <family val="2"/>
      <scheme val="minor"/>
    </font>
    <font>
      <sz val="24"/>
      <color rgb="FFFF0000"/>
      <name val="Calibri"/>
      <family val="2"/>
      <scheme val="minor"/>
    </font>
    <font>
      <sz val="10"/>
      <color rgb="FFFF0000"/>
      <name val="Calibri"/>
      <family val="2"/>
      <scheme val="minor"/>
    </font>
    <font>
      <sz val="12"/>
      <color rgb="FFFF0000"/>
      <name val="Calibri"/>
      <family val="2"/>
      <scheme val="minor"/>
    </font>
    <font>
      <sz val="10.5"/>
      <color rgb="FF000000"/>
      <name val="Tahoma"/>
      <family val="2"/>
    </font>
    <font>
      <sz val="8"/>
      <name val="Calibri"/>
      <family val="2"/>
      <scheme val="minor"/>
    </font>
    <font>
      <sz val="11"/>
      <color theme="1"/>
      <name val="Calibri"/>
      <family val="2"/>
      <scheme val="minor"/>
    </font>
    <font>
      <sz val="20"/>
      <color theme="1"/>
      <name val="Calibri"/>
      <family val="2"/>
      <scheme val="minor"/>
    </font>
    <font>
      <b/>
      <sz val="18"/>
      <color theme="1"/>
      <name val="Calibri (Body)"/>
    </font>
    <font>
      <sz val="12"/>
      <color rgb="FF00000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BCD9DE"/>
        <bgColor rgb="FF000000"/>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97">
    <xf numFmtId="0" fontId="0" fillId="0" borderId="0" xfId="0"/>
    <xf numFmtId="0" fontId="2" fillId="0" borderId="0" xfId="0" applyFont="1"/>
    <xf numFmtId="0" fontId="5" fillId="2" borderId="1" xfId="0" applyFont="1" applyFill="1" applyBorder="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7" fillId="2" borderId="3" xfId="0" applyFont="1" applyFill="1" applyBorder="1" applyAlignment="1">
      <alignment horizontal="left"/>
    </xf>
    <xf numFmtId="0" fontId="0" fillId="0" borderId="0" xfId="0" applyProtection="1">
      <protection locked="0"/>
    </xf>
    <xf numFmtId="0" fontId="0" fillId="0" borderId="4" xfId="0" applyBorder="1"/>
    <xf numFmtId="0" fontId="8" fillId="0" borderId="5" xfId="0" applyFont="1" applyBorder="1"/>
    <xf numFmtId="0" fontId="2" fillId="0" borderId="4" xfId="0" applyFont="1" applyBorder="1"/>
    <xf numFmtId="14" fontId="8" fillId="0" borderId="0" xfId="0" applyNumberFormat="1" applyFont="1" applyAlignment="1">
      <alignment horizontal="right"/>
    </xf>
    <xf numFmtId="0" fontId="8" fillId="0" borderId="0" xfId="0" applyFont="1"/>
    <xf numFmtId="6" fontId="8" fillId="0" borderId="5" xfId="0" applyNumberFormat="1" applyFont="1" applyBorder="1"/>
    <xf numFmtId="9" fontId="8" fillId="0" borderId="5" xfId="0" applyNumberFormat="1" applyFont="1" applyBorder="1"/>
    <xf numFmtId="9" fontId="0" fillId="0" borderId="0" xfId="0" applyNumberFormat="1"/>
    <xf numFmtId="8" fontId="8" fillId="0" borderId="0" xfId="0" applyNumberFormat="1" applyFont="1" applyAlignment="1">
      <alignment horizontal="right"/>
    </xf>
    <xf numFmtId="10" fontId="8" fillId="0" borderId="5" xfId="0" applyNumberFormat="1" applyFont="1" applyBorder="1"/>
    <xf numFmtId="3" fontId="8" fillId="0" borderId="0" xfId="0" applyNumberFormat="1" applyFont="1"/>
    <xf numFmtId="10" fontId="9" fillId="0" borderId="5" xfId="0" applyNumberFormat="1" applyFont="1" applyBorder="1"/>
    <xf numFmtId="6" fontId="9" fillId="0" borderId="0" xfId="0" applyNumberFormat="1" applyFont="1"/>
    <xf numFmtId="1" fontId="10" fillId="0" borderId="5" xfId="0" applyNumberFormat="1" applyFont="1" applyBorder="1"/>
    <xf numFmtId="3" fontId="9" fillId="0" borderId="0" xfId="0" applyNumberFormat="1" applyFont="1"/>
    <xf numFmtId="0" fontId="2" fillId="0" borderId="0" xfId="0" applyFont="1" applyAlignment="1">
      <alignment horizontal="center"/>
    </xf>
    <xf numFmtId="0" fontId="0" fillId="0" borderId="5" xfId="0" applyBorder="1"/>
    <xf numFmtId="0" fontId="2" fillId="0" borderId="6" xfId="0" applyFont="1" applyBorder="1" applyAlignment="1">
      <alignment horizontal="center"/>
    </xf>
    <xf numFmtId="0" fontId="2" fillId="0" borderId="7" xfId="0" applyFont="1" applyBorder="1" applyAlignment="1" applyProtection="1">
      <alignment horizontal="center"/>
      <protection locked="0"/>
    </xf>
    <xf numFmtId="0" fontId="0" fillId="0" borderId="8" xfId="0" applyBorder="1"/>
    <xf numFmtId="0" fontId="0" fillId="0" borderId="4" xfId="0" applyBorder="1" applyAlignment="1">
      <alignment horizontal="left" indent="1"/>
    </xf>
    <xf numFmtId="6" fontId="0" fillId="0" borderId="0" xfId="0" applyNumberFormat="1"/>
    <xf numFmtId="0" fontId="0" fillId="0" borderId="0" xfId="0" applyAlignment="1">
      <alignment horizontal="center"/>
    </xf>
    <xf numFmtId="1" fontId="11" fillId="3" borderId="9" xfId="0" applyNumberFormat="1" applyFont="1" applyFill="1" applyBorder="1" applyAlignment="1" applyProtection="1">
      <alignment horizontal="center"/>
      <protection locked="0"/>
    </xf>
    <xf numFmtId="6" fontId="8" fillId="0" borderId="0" xfId="0" applyNumberFormat="1" applyFont="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6" fontId="2" fillId="0" borderId="2" xfId="0" applyNumberFormat="1" applyFont="1" applyBorder="1"/>
    <xf numFmtId="0" fontId="2" fillId="0" borderId="2" xfId="0" applyFont="1" applyBorder="1"/>
    <xf numFmtId="0" fontId="0" fillId="0" borderId="2" xfId="0" applyBorder="1"/>
    <xf numFmtId="3" fontId="12" fillId="0" borderId="2" xfId="0" applyNumberFormat="1" applyFont="1" applyBorder="1"/>
    <xf numFmtId="0" fontId="2" fillId="5" borderId="16" xfId="0" applyFont="1" applyFill="1" applyBorder="1" applyAlignment="1">
      <alignment horizontal="centerContinuous"/>
    </xf>
    <xf numFmtId="0" fontId="0" fillId="5" borderId="17" xfId="0" applyFill="1" applyBorder="1" applyAlignment="1">
      <alignment horizontal="centerContinuous"/>
    </xf>
    <xf numFmtId="0" fontId="0" fillId="5" borderId="18" xfId="0" applyFill="1" applyBorder="1" applyAlignment="1">
      <alignment horizontal="centerContinuous"/>
    </xf>
    <xf numFmtId="0" fontId="2" fillId="6" borderId="17" xfId="0" applyFont="1" applyFill="1" applyBorder="1" applyAlignment="1">
      <alignment horizontal="centerContinuous"/>
    </xf>
    <xf numFmtId="0" fontId="2" fillId="6" borderId="18" xfId="0" applyFont="1" applyFill="1" applyBorder="1" applyAlignment="1">
      <alignment horizontal="centerContinuous"/>
    </xf>
    <xf numFmtId="0" fontId="12" fillId="0" borderId="6" xfId="0" applyFont="1" applyBorder="1" applyAlignment="1">
      <alignment horizontal="center"/>
    </xf>
    <xf numFmtId="0" fontId="12" fillId="0" borderId="19" xfId="0" applyFont="1" applyBorder="1" applyAlignment="1">
      <alignment horizontal="center"/>
    </xf>
    <xf numFmtId="0" fontId="12" fillId="0" borderId="0" xfId="0" applyFont="1" applyAlignment="1">
      <alignment horizontal="center"/>
    </xf>
    <xf numFmtId="0" fontId="12" fillId="0" borderId="5" xfId="0" applyFont="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164" fontId="14" fillId="0" borderId="0" xfId="2" applyNumberFormat="1" applyFont="1"/>
    <xf numFmtId="164" fontId="14" fillId="0" borderId="5" xfId="2" applyNumberFormat="1" applyFont="1" applyBorder="1"/>
    <xf numFmtId="0" fontId="0" fillId="7" borderId="20" xfId="0" applyFill="1" applyBorder="1"/>
    <xf numFmtId="0" fontId="0" fillId="7" borderId="21" xfId="0" applyFill="1" applyBorder="1" applyProtection="1">
      <protection locked="0"/>
    </xf>
    <xf numFmtId="10" fontId="0" fillId="7" borderId="21" xfId="1" applyNumberFormat="1" applyFont="1" applyFill="1" applyBorder="1" applyProtection="1">
      <protection locked="0"/>
    </xf>
    <xf numFmtId="10" fontId="0" fillId="7" borderId="22" xfId="1" applyNumberFormat="1" applyFont="1" applyFill="1" applyBorder="1" applyProtection="1">
      <protection locked="0"/>
    </xf>
    <xf numFmtId="0" fontId="0" fillId="7" borderId="13" xfId="0" applyFill="1" applyBorder="1"/>
    <xf numFmtId="0" fontId="0" fillId="7" borderId="14" xfId="0" applyFill="1" applyBorder="1" applyProtection="1">
      <protection locked="0"/>
    </xf>
    <xf numFmtId="10" fontId="0" fillId="7" borderId="14" xfId="1" applyNumberFormat="1" applyFont="1" applyFill="1" applyBorder="1" applyProtection="1">
      <protection locked="0"/>
    </xf>
    <xf numFmtId="10" fontId="0" fillId="7" borderId="15" xfId="1" applyNumberFormat="1" applyFont="1" applyFill="1" applyBorder="1" applyProtection="1">
      <protection locked="0"/>
    </xf>
    <xf numFmtId="0" fontId="2" fillId="0" borderId="23" xfId="0" applyFont="1" applyBorder="1"/>
    <xf numFmtId="0" fontId="0" fillId="0" borderId="6" xfId="0" applyBorder="1"/>
    <xf numFmtId="164" fontId="14" fillId="0" borderId="6" xfId="2" applyNumberFormat="1" applyFont="1" applyBorder="1"/>
    <xf numFmtId="164" fontId="14" fillId="0" borderId="19" xfId="2" applyNumberFormat="1" applyFont="1" applyBorder="1"/>
    <xf numFmtId="165" fontId="15" fillId="0" borderId="24" xfId="0" applyNumberFormat="1" applyFont="1" applyBorder="1" applyAlignment="1">
      <alignment vertical="center"/>
    </xf>
    <xf numFmtId="165" fontId="15" fillId="0" borderId="25" xfId="0" applyNumberFormat="1" applyFont="1" applyBorder="1" applyAlignment="1">
      <alignment vertical="center"/>
    </xf>
    <xf numFmtId="165" fontId="15" fillId="0" borderId="26" xfId="0" applyNumberFormat="1" applyFont="1" applyBorder="1" applyAlignment="1">
      <alignment vertical="center"/>
    </xf>
    <xf numFmtId="165" fontId="15" fillId="0" borderId="27" xfId="0" applyNumberFormat="1" applyFont="1" applyBorder="1" applyAlignment="1">
      <alignment vertical="center"/>
    </xf>
    <xf numFmtId="165" fontId="15" fillId="0" borderId="0" xfId="0" applyNumberFormat="1" applyFont="1" applyAlignment="1">
      <alignment vertical="center"/>
    </xf>
    <xf numFmtId="165" fontId="15" fillId="0" borderId="28" xfId="0" applyNumberFormat="1" applyFont="1" applyBorder="1" applyAlignment="1">
      <alignment vertical="center"/>
    </xf>
    <xf numFmtId="165" fontId="16" fillId="0" borderId="0" xfId="0" applyNumberFormat="1" applyFont="1" applyAlignment="1">
      <alignment vertical="center"/>
    </xf>
    <xf numFmtId="165" fontId="16" fillId="0" borderId="28" xfId="0" applyNumberFormat="1" applyFont="1" applyBorder="1" applyAlignment="1">
      <alignment vertical="center"/>
    </xf>
    <xf numFmtId="165" fontId="16" fillId="0" borderId="27" xfId="0" applyNumberFormat="1" applyFont="1" applyBorder="1" applyAlignment="1">
      <alignment vertical="center"/>
    </xf>
    <xf numFmtId="165" fontId="16" fillId="0" borderId="0" xfId="0" applyNumberFormat="1" applyFont="1"/>
    <xf numFmtId="165" fontId="17" fillId="8" borderId="10" xfId="0" applyNumberFormat="1" applyFont="1" applyFill="1" applyBorder="1" applyProtection="1">
      <protection locked="0"/>
    </xf>
    <xf numFmtId="165" fontId="16" fillId="0" borderId="27" xfId="0" applyNumberFormat="1" applyFont="1" applyBorder="1"/>
    <xf numFmtId="165" fontId="16" fillId="0" borderId="28" xfId="0" applyNumberFormat="1" applyFont="1" applyBorder="1"/>
    <xf numFmtId="165" fontId="18" fillId="0" borderId="0" xfId="0" applyNumberFormat="1" applyFont="1"/>
    <xf numFmtId="165" fontId="18" fillId="0" borderId="27" xfId="0" applyNumberFormat="1" applyFont="1" applyBorder="1"/>
    <xf numFmtId="165" fontId="18" fillId="0" borderId="28" xfId="0" applyNumberFormat="1" applyFont="1" applyBorder="1"/>
    <xf numFmtId="165" fontId="15" fillId="0" borderId="28" xfId="0" applyNumberFormat="1" applyFont="1" applyBorder="1"/>
    <xf numFmtId="165" fontId="15" fillId="0" borderId="27" xfId="0" applyNumberFormat="1" applyFont="1" applyBorder="1"/>
    <xf numFmtId="165" fontId="15" fillId="0" borderId="0" xfId="0" applyNumberFormat="1" applyFont="1"/>
    <xf numFmtId="0" fontId="0" fillId="0" borderId="27" xfId="0" applyBorder="1"/>
    <xf numFmtId="0" fontId="0" fillId="0" borderId="28" xfId="0" applyBorder="1"/>
    <xf numFmtId="10" fontId="0" fillId="0" borderId="27" xfId="1" applyNumberFormat="1" applyFont="1" applyBorder="1"/>
    <xf numFmtId="10" fontId="0" fillId="0" borderId="0" xfId="1" applyNumberFormat="1" applyFont="1"/>
    <xf numFmtId="10" fontId="0" fillId="0" borderId="28" xfId="1" applyNumberFormat="1" applyFont="1" applyBorder="1"/>
    <xf numFmtId="166" fontId="0" fillId="0" borderId="0" xfId="0" applyNumberFormat="1"/>
    <xf numFmtId="166" fontId="0" fillId="0" borderId="27" xfId="0" applyNumberFormat="1" applyBorder="1"/>
    <xf numFmtId="166" fontId="0" fillId="0" borderId="28" xfId="0" applyNumberFormat="1" applyBorder="1"/>
    <xf numFmtId="6" fontId="8" fillId="0" borderId="27" xfId="0" applyNumberFormat="1" applyFont="1" applyBorder="1"/>
    <xf numFmtId="6" fontId="8" fillId="0" borderId="28" xfId="0" applyNumberFormat="1" applyFont="1" applyBorder="1"/>
    <xf numFmtId="9" fontId="16" fillId="0" borderId="0" xfId="0" applyNumberFormat="1" applyFont="1"/>
    <xf numFmtId="9" fontId="16" fillId="0" borderId="27" xfId="0" applyNumberFormat="1" applyFont="1" applyBorder="1"/>
    <xf numFmtId="9" fontId="16" fillId="0" borderId="28" xfId="0" applyNumberFormat="1" applyFont="1" applyBorder="1"/>
    <xf numFmtId="0" fontId="0" fillId="0" borderId="23" xfId="0" applyBorder="1"/>
    <xf numFmtId="165" fontId="16" fillId="0" borderId="6" xfId="0" applyNumberFormat="1" applyFont="1" applyBorder="1"/>
    <xf numFmtId="165" fontId="16" fillId="0" borderId="29" xfId="0" applyNumberFormat="1" applyFont="1" applyBorder="1"/>
    <xf numFmtId="165" fontId="16" fillId="0" borderId="30" xfId="0" applyNumberFormat="1" applyFont="1" applyBorder="1"/>
    <xf numFmtId="165" fontId="16" fillId="0" borderId="31" xfId="0" applyNumberFormat="1" applyFont="1" applyBorder="1"/>
    <xf numFmtId="0" fontId="19" fillId="0" borderId="5" xfId="0" applyFont="1" applyBorder="1" applyAlignment="1">
      <alignment horizontal="center"/>
    </xf>
    <xf numFmtId="6" fontId="20" fillId="0" borderId="0" xfId="0" applyNumberFormat="1" applyFont="1"/>
    <xf numFmtId="6" fontId="20" fillId="0" borderId="5" xfId="0" applyNumberFormat="1" applyFont="1" applyBorder="1"/>
    <xf numFmtId="6" fontId="12" fillId="0" borderId="0" xfId="0" applyNumberFormat="1" applyFont="1"/>
    <xf numFmtId="6" fontId="12" fillId="0" borderId="5" xfId="0" applyNumberFormat="1" applyFont="1" applyBorder="1"/>
    <xf numFmtId="6" fontId="9" fillId="0" borderId="5" xfId="0" applyNumberFormat="1" applyFont="1" applyBorder="1"/>
    <xf numFmtId="0" fontId="2" fillId="0" borderId="4" xfId="0" applyFont="1" applyBorder="1" applyAlignment="1">
      <alignment horizontal="left" indent="1"/>
    </xf>
    <xf numFmtId="6" fontId="2" fillId="0" borderId="0" xfId="0" applyNumberFormat="1" applyFont="1"/>
    <xf numFmtId="6" fontId="2" fillId="0" borderId="5" xfId="0" applyNumberFormat="1" applyFont="1" applyBorder="1"/>
    <xf numFmtId="6" fontId="2" fillId="0" borderId="4" xfId="0" applyNumberFormat="1" applyFont="1" applyBorder="1"/>
    <xf numFmtId="0" fontId="2" fillId="0" borderId="1" xfId="0" applyFont="1" applyBorder="1" applyAlignment="1">
      <alignment horizontal="left"/>
    </xf>
    <xf numFmtId="6" fontId="2" fillId="0" borderId="3" xfId="0" applyNumberFormat="1" applyFont="1" applyBorder="1"/>
    <xf numFmtId="0" fontId="2" fillId="0" borderId="4" xfId="0" applyFont="1" applyBorder="1" applyAlignment="1">
      <alignment horizontal="left"/>
    </xf>
    <xf numFmtId="167" fontId="12" fillId="0" borderId="0" xfId="0" applyNumberFormat="1" applyFont="1"/>
    <xf numFmtId="167" fontId="12" fillId="0" borderId="5" xfId="0" applyNumberFormat="1" applyFont="1" applyBorder="1"/>
    <xf numFmtId="6" fontId="0" fillId="0" borderId="5" xfId="0" applyNumberFormat="1" applyBorder="1"/>
    <xf numFmtId="0" fontId="0" fillId="0" borderId="4" xfId="0" applyBorder="1" applyAlignment="1">
      <alignment horizontal="left"/>
    </xf>
    <xf numFmtId="8" fontId="2" fillId="0" borderId="0" xfId="0" applyNumberFormat="1" applyFont="1"/>
    <xf numFmtId="8" fontId="2" fillId="0" borderId="5" xfId="0" applyNumberFormat="1" applyFont="1" applyBorder="1"/>
    <xf numFmtId="3" fontId="8" fillId="0" borderId="5" xfId="0" applyNumberFormat="1" applyFont="1" applyBorder="1"/>
    <xf numFmtId="3" fontId="9" fillId="0" borderId="5" xfId="0" applyNumberFormat="1" applyFont="1" applyBorder="1"/>
    <xf numFmtId="0" fontId="21" fillId="0" borderId="4" xfId="0" applyFont="1" applyBorder="1" applyAlignment="1">
      <alignment horizontal="left" indent="1"/>
    </xf>
    <xf numFmtId="0" fontId="11" fillId="0" borderId="0" xfId="0" applyFont="1"/>
    <xf numFmtId="6" fontId="21" fillId="0" borderId="0" xfId="0" applyNumberFormat="1" applyFont="1"/>
    <xf numFmtId="6" fontId="21" fillId="0" borderId="5" xfId="0" applyNumberFormat="1" applyFont="1" applyBorder="1"/>
    <xf numFmtId="6" fontId="21" fillId="0" borderId="4" xfId="0" applyNumberFormat="1" applyFont="1" applyBorder="1"/>
    <xf numFmtId="0" fontId="2" fillId="0" borderId="23" xfId="0" applyFont="1" applyBorder="1" applyAlignment="1">
      <alignment horizontal="left" indent="1"/>
    </xf>
    <xf numFmtId="8" fontId="2" fillId="0" borderId="6" xfId="0" applyNumberFormat="1" applyFont="1" applyBorder="1"/>
    <xf numFmtId="8" fontId="2" fillId="0" borderId="19" xfId="0" applyNumberFormat="1" applyFont="1" applyBorder="1"/>
    <xf numFmtId="0" fontId="2" fillId="0" borderId="4" xfId="0" applyFont="1" applyBorder="1" applyAlignment="1">
      <alignment horizontal="centerContinuous"/>
    </xf>
    <xf numFmtId="0" fontId="0" fillId="0" borderId="0" xfId="0" applyAlignment="1">
      <alignment horizontal="centerContinuous"/>
    </xf>
    <xf numFmtId="4" fontId="19" fillId="0" borderId="0" xfId="0" applyNumberFormat="1" applyFont="1" applyAlignment="1">
      <alignment horizontal="left"/>
    </xf>
    <xf numFmtId="4" fontId="19" fillId="0" borderId="5" xfId="0" applyNumberFormat="1" applyFont="1" applyBorder="1" applyAlignment="1">
      <alignment horizontal="left"/>
    </xf>
    <xf numFmtId="0" fontId="0" fillId="0" borderId="3" xfId="0" applyBorder="1"/>
    <xf numFmtId="6" fontId="19" fillId="0" borderId="0" xfId="0" applyNumberFormat="1" applyFont="1"/>
    <xf numFmtId="6" fontId="19" fillId="0" borderId="5" xfId="0" applyNumberFormat="1" applyFont="1" applyBorder="1"/>
    <xf numFmtId="6" fontId="22" fillId="0" borderId="0" xfId="0" applyNumberFormat="1" applyFont="1"/>
    <xf numFmtId="0" fontId="2" fillId="0" borderId="1" xfId="0" applyFont="1" applyBorder="1"/>
    <xf numFmtId="167" fontId="12" fillId="0" borderId="2" xfId="0" applyNumberFormat="1" applyFont="1" applyBorder="1"/>
    <xf numFmtId="167" fontId="19" fillId="0" borderId="2" xfId="0" applyNumberFormat="1" applyFont="1" applyBorder="1"/>
    <xf numFmtId="6" fontId="12" fillId="0" borderId="2" xfId="0" applyNumberFormat="1" applyFont="1" applyBorder="1"/>
    <xf numFmtId="6" fontId="12" fillId="0" borderId="3" xfId="0" applyNumberFormat="1" applyFont="1" applyBorder="1"/>
    <xf numFmtId="6" fontId="23" fillId="0" borderId="0" xfId="0" applyNumberFormat="1" applyFont="1"/>
    <xf numFmtId="5" fontId="23" fillId="0" borderId="0" xfId="0" applyNumberFormat="1" applyFont="1"/>
    <xf numFmtId="5" fontId="9" fillId="0" borderId="0" xfId="0" applyNumberFormat="1" applyFont="1"/>
    <xf numFmtId="168" fontId="9" fillId="0" borderId="4" xfId="0" applyNumberFormat="1" applyFont="1" applyBorder="1" applyAlignment="1">
      <alignment horizontal="left" indent="1"/>
    </xf>
    <xf numFmtId="168" fontId="15" fillId="0" borderId="0" xfId="0" applyNumberFormat="1" applyFont="1"/>
    <xf numFmtId="168" fontId="24" fillId="0" borderId="0" xfId="0" applyNumberFormat="1" applyFont="1"/>
    <xf numFmtId="168" fontId="15" fillId="0" borderId="4" xfId="0" applyNumberFormat="1" applyFont="1" applyBorder="1"/>
    <xf numFmtId="168" fontId="24" fillId="0" borderId="5" xfId="0" applyNumberFormat="1" applyFont="1" applyBorder="1"/>
    <xf numFmtId="168" fontId="12" fillId="0" borderId="4" xfId="0" applyNumberFormat="1" applyFont="1" applyBorder="1" applyAlignment="1">
      <alignment horizontal="centerContinuous"/>
    </xf>
    <xf numFmtId="168" fontId="25" fillId="0" borderId="0" xfId="0" applyNumberFormat="1" applyFont="1" applyAlignment="1">
      <alignment horizontal="centerContinuous"/>
    </xf>
    <xf numFmtId="168" fontId="26" fillId="0" borderId="0" xfId="0" applyNumberFormat="1" applyFont="1" applyAlignment="1">
      <alignment horizontal="centerContinuous"/>
    </xf>
    <xf numFmtId="168" fontId="26" fillId="0" borderId="0" xfId="0" applyNumberFormat="1" applyFont="1" applyAlignment="1">
      <alignment horizontal="left"/>
    </xf>
    <xf numFmtId="168" fontId="26" fillId="0" borderId="5" xfId="0" applyNumberFormat="1" applyFont="1" applyBorder="1" applyAlignment="1">
      <alignment horizontal="left"/>
    </xf>
    <xf numFmtId="6" fontId="12" fillId="0" borderId="6" xfId="0" applyNumberFormat="1" applyFont="1" applyBorder="1"/>
    <xf numFmtId="6" fontId="12" fillId="0" borderId="19" xfId="0" applyNumberFormat="1" applyFont="1" applyBorder="1"/>
    <xf numFmtId="169" fontId="2" fillId="0" borderId="0" xfId="0" applyNumberFormat="1" applyFont="1"/>
    <xf numFmtId="0" fontId="2" fillId="0" borderId="0" xfId="0" applyFont="1" applyAlignment="1">
      <alignment horizontal="centerContinuous"/>
    </xf>
    <xf numFmtId="0" fontId="19" fillId="0" borderId="5" xfId="0" applyFont="1" applyBorder="1" applyAlignment="1">
      <alignment horizontal="centerContinuous"/>
    </xf>
    <xf numFmtId="6" fontId="12" fillId="0" borderId="4" xfId="0" applyNumberFormat="1" applyFont="1" applyBorder="1"/>
    <xf numFmtId="6" fontId="9" fillId="0" borderId="4" xfId="0" applyNumberFormat="1" applyFont="1" applyBorder="1"/>
    <xf numFmtId="6" fontId="0" fillId="0" borderId="4" xfId="0" applyNumberFormat="1" applyBorder="1"/>
    <xf numFmtId="6" fontId="2" fillId="0" borderId="1" xfId="0" applyNumberFormat="1" applyFont="1" applyBorder="1"/>
    <xf numFmtId="8" fontId="2" fillId="0" borderId="0" xfId="0" applyNumberFormat="1" applyFont="1" applyAlignment="1">
      <alignment horizontal="centerContinuous"/>
    </xf>
    <xf numFmtId="0" fontId="0" fillId="0" borderId="5" xfId="0" applyBorder="1" applyAlignment="1">
      <alignment horizontal="centerContinuous"/>
    </xf>
    <xf numFmtId="3" fontId="22" fillId="0" borderId="0" xfId="0" applyNumberFormat="1" applyFont="1"/>
    <xf numFmtId="6" fontId="20" fillId="0" borderId="6" xfId="0" applyNumberFormat="1" applyFont="1" applyBorder="1"/>
    <xf numFmtId="6" fontId="2" fillId="0" borderId="6" xfId="0" applyNumberFormat="1" applyFont="1" applyBorder="1"/>
    <xf numFmtId="6" fontId="2" fillId="0" borderId="19" xfId="0" applyNumberFormat="1" applyFont="1" applyBorder="1"/>
    <xf numFmtId="0" fontId="28" fillId="0" borderId="0" xfId="0" applyFont="1"/>
    <xf numFmtId="167" fontId="29" fillId="0" borderId="0" xfId="0" applyNumberFormat="1" applyFont="1"/>
    <xf numFmtId="0" fontId="0" fillId="10" borderId="0" xfId="0" applyFill="1"/>
    <xf numFmtId="0" fontId="32" fillId="0" borderId="0" xfId="0" applyFont="1" applyAlignment="1">
      <alignment horizontal="center" vertical="center"/>
    </xf>
    <xf numFmtId="0" fontId="0" fillId="0" borderId="27" xfId="0" applyBorder="1" applyProtection="1">
      <protection locked="0"/>
    </xf>
    <xf numFmtId="0" fontId="0" fillId="0" borderId="28" xfId="0" applyBorder="1" applyProtection="1">
      <protection locked="0"/>
    </xf>
    <xf numFmtId="0" fontId="0" fillId="11" borderId="0" xfId="0" applyFill="1"/>
    <xf numFmtId="8" fontId="0" fillId="4" borderId="14" xfId="0" applyNumberFormat="1" applyFill="1" applyBorder="1" applyProtection="1">
      <protection locked="0"/>
    </xf>
    <xf numFmtId="9" fontId="0" fillId="4" borderId="15" xfId="0" applyNumberFormat="1" applyFill="1" applyBorder="1" applyProtection="1">
      <protection locked="0"/>
    </xf>
    <xf numFmtId="0" fontId="0" fillId="12" borderId="0" xfId="0" applyFill="1"/>
    <xf numFmtId="0" fontId="34" fillId="11" borderId="0" xfId="0" applyFont="1" applyFill="1"/>
    <xf numFmtId="8" fontId="0" fillId="0" borderId="0" xfId="0" applyNumberFormat="1"/>
    <xf numFmtId="170" fontId="0" fillId="0" borderId="0" xfId="0" applyNumberFormat="1"/>
    <xf numFmtId="167" fontId="0" fillId="0" borderId="0" xfId="0" applyNumberFormat="1"/>
    <xf numFmtId="165" fontId="0" fillId="0" borderId="0" xfId="0" applyNumberFormat="1"/>
    <xf numFmtId="10" fontId="0" fillId="0" borderId="0" xfId="0" applyNumberFormat="1"/>
    <xf numFmtId="0" fontId="35" fillId="13" borderId="0" xfId="0" applyFont="1" applyFill="1"/>
    <xf numFmtId="0" fontId="0" fillId="7" borderId="10" xfId="0" applyFill="1" applyBorder="1" applyAlignment="1">
      <alignment horizontal="center"/>
    </xf>
    <xf numFmtId="0" fontId="0" fillId="7" borderId="11" xfId="0" applyFill="1" applyBorder="1" applyAlignment="1">
      <alignment horizontal="center"/>
    </xf>
    <xf numFmtId="0" fontId="33" fillId="0" borderId="32" xfId="0" applyFont="1" applyBorder="1" applyAlignment="1">
      <alignment horizontal="center"/>
    </xf>
    <xf numFmtId="0" fontId="33" fillId="0" borderId="33" xfId="0" applyFont="1" applyBorder="1" applyAlignment="1">
      <alignment horizontal="center"/>
    </xf>
    <xf numFmtId="0" fontId="33" fillId="0" borderId="34" xfId="0" applyFont="1" applyBorder="1" applyAlignment="1">
      <alignment horizontal="center"/>
    </xf>
    <xf numFmtId="0" fontId="27" fillId="9" borderId="32" xfId="0" applyFont="1" applyFill="1" applyBorder="1" applyAlignment="1">
      <alignment horizontal="center"/>
    </xf>
    <xf numFmtId="0" fontId="27" fillId="9" borderId="33" xfId="0" applyFont="1" applyFill="1" applyBorder="1" applyAlignment="1">
      <alignment horizontal="center"/>
    </xf>
    <xf numFmtId="0" fontId="27" fillId="9" borderId="34" xfId="0" applyFont="1" applyFill="1" applyBorder="1" applyAlignment="1">
      <alignment horizontal="center"/>
    </xf>
  </cellXfs>
  <cellStyles count="3">
    <cellStyle name="Normal" xfId="0" builtinId="0"/>
    <cellStyle name="Normal 2" xfId="2" xr:uid="{00000000-0005-0000-0000-000001000000}"/>
    <cellStyle name="Percent" xfId="1" builtinId="5"/>
  </cellStyles>
  <dxfs count="10">
    <dxf>
      <numFmt numFmtId="14" formatCode="0.00%"/>
    </dxf>
    <dxf>
      <numFmt numFmtId="14" formatCode="0.00%"/>
    </dxf>
    <dxf>
      <numFmt numFmtId="14" formatCode="0.00%"/>
    </dxf>
    <dxf>
      <numFmt numFmtId="14" formatCode="0.00%"/>
    </dxf>
    <dxf>
      <numFmt numFmtId="165" formatCode="0.0%"/>
    </dxf>
    <dxf>
      <numFmt numFmtId="165" formatCode="0.0%"/>
    </dxf>
    <dxf>
      <numFmt numFmtId="165" formatCode="0.0%"/>
    </dxf>
    <dxf>
      <numFmt numFmtId="165" formatCode="0.0%"/>
    </dxf>
    <dxf>
      <numFmt numFmtId="167" formatCode="&quot;$&quot;#,##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Scenario by NPV</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NPV!$A$1</c:f>
              <c:strCache>
                <c:ptCount val="1"/>
                <c:pt idx="0">
                  <c:v>Scenario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NPV!$A$2:$A$4</c:f>
              <c:numCache>
                <c:formatCode>General</c:formatCode>
                <c:ptCount val="3"/>
                <c:pt idx="0">
                  <c:v>1</c:v>
                </c:pt>
                <c:pt idx="1">
                  <c:v>2</c:v>
                </c:pt>
                <c:pt idx="2">
                  <c:v>3</c:v>
                </c:pt>
              </c:numCache>
            </c:numRef>
          </c:val>
          <c:extLst>
            <c:ext xmlns:c16="http://schemas.microsoft.com/office/drawing/2014/chart" uri="{C3380CC4-5D6E-409C-BE32-E72D297353CC}">
              <c16:uniqueId val="{00000000-AEC6-4B41-A6B7-1454BFA2ED99}"/>
            </c:ext>
          </c:extLst>
        </c:ser>
        <c:ser>
          <c:idx val="1"/>
          <c:order val="1"/>
          <c:tx>
            <c:strRef>
              <c:f>NPV!$B$1</c:f>
              <c:strCache>
                <c:ptCount val="1"/>
                <c:pt idx="0">
                  <c:v>NPV</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NPV!$B$2:$B$4</c:f>
              <c:numCache>
                <c:formatCode>"$"#,##0.00_);[Red]\("$"#,##0.00\)</c:formatCode>
                <c:ptCount val="3"/>
                <c:pt idx="0">
                  <c:v>19522.810000000001</c:v>
                </c:pt>
                <c:pt idx="1">
                  <c:v>38500.879999999997</c:v>
                </c:pt>
                <c:pt idx="2" formatCode="&quot;$&quot;#,##0.00">
                  <c:v>57253.66</c:v>
                </c:pt>
              </c:numCache>
            </c:numRef>
          </c:val>
          <c:extLst>
            <c:ext xmlns:c16="http://schemas.microsoft.com/office/drawing/2014/chart" uri="{C3380CC4-5D6E-409C-BE32-E72D297353CC}">
              <c16:uniqueId val="{00000001-AEC6-4B41-A6B7-1454BFA2ED99}"/>
            </c:ext>
          </c:extLst>
        </c:ser>
        <c:dLbls>
          <c:showLegendKey val="0"/>
          <c:showVal val="0"/>
          <c:showCatName val="0"/>
          <c:showSerName val="0"/>
          <c:showPercent val="0"/>
          <c:showBubbleSize val="0"/>
        </c:dLbls>
        <c:gapWidth val="115"/>
        <c:overlap val="-20"/>
        <c:axId val="1978984079"/>
        <c:axId val="1796177648"/>
      </c:barChart>
      <c:catAx>
        <c:axId val="1978984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796177648"/>
        <c:crosses val="autoZero"/>
        <c:auto val="1"/>
        <c:lblAlgn val="ctr"/>
        <c:lblOffset val="100"/>
        <c:noMultiLvlLbl val="0"/>
      </c:catAx>
      <c:valAx>
        <c:axId val="1796177648"/>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8984079"/>
        <c:crosses val="autoZero"/>
        <c:crossBetween val="between"/>
      </c:valAx>
      <c:spPr>
        <a:noFill/>
        <a:ln>
          <a:noFill/>
        </a:ln>
        <a:effectLst/>
      </c:spPr>
    </c:plotArea>
    <c:plotVisOnly val="1"/>
    <c:dispBlanksAs val="gap"/>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Yearly</a:t>
            </a:r>
            <a:r>
              <a:rPr lang="en-US" baseline="0">
                <a:solidFill>
                  <a:schemeClr val="tx1"/>
                </a:solidFill>
              </a:rPr>
              <a:t> </a:t>
            </a:r>
            <a:r>
              <a:rPr lang="en-US">
                <a:solidFill>
                  <a:schemeClr val="tx1"/>
                </a:solidFill>
              </a:rPr>
              <a:t>Revenue Growth % by scenario (2018-2022)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Growth % '!$B$1</c:f>
              <c:strCache>
                <c:ptCount val="1"/>
                <c:pt idx="0">
                  <c:v>Scenario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'!$B$2:$B$6</c:f>
              <c:numCache>
                <c:formatCode>0%</c:formatCode>
                <c:ptCount val="5"/>
                <c:pt idx="0">
                  <c:v>0.1</c:v>
                </c:pt>
                <c:pt idx="1">
                  <c:v>0.11</c:v>
                </c:pt>
                <c:pt idx="2">
                  <c:v>0.12</c:v>
                </c:pt>
                <c:pt idx="3">
                  <c:v>0.1</c:v>
                </c:pt>
                <c:pt idx="4">
                  <c:v>0.13</c:v>
                </c:pt>
              </c:numCache>
            </c:numRef>
          </c:val>
          <c:extLst>
            <c:ext xmlns:c16="http://schemas.microsoft.com/office/drawing/2014/chart" uri="{C3380CC4-5D6E-409C-BE32-E72D297353CC}">
              <c16:uniqueId val="{00000000-D96C-4E32-8E8C-E902720500C4}"/>
            </c:ext>
          </c:extLst>
        </c:ser>
        <c:ser>
          <c:idx val="1"/>
          <c:order val="1"/>
          <c:tx>
            <c:strRef>
              <c:f>'Revenue Growth % '!$C$1</c:f>
              <c:strCache>
                <c:ptCount val="1"/>
                <c:pt idx="0">
                  <c:v>Scenario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'!$C$2:$C$6</c:f>
              <c:numCache>
                <c:formatCode>0%</c:formatCode>
                <c:ptCount val="5"/>
                <c:pt idx="0">
                  <c:v>0.15</c:v>
                </c:pt>
                <c:pt idx="1">
                  <c:v>0.16</c:v>
                </c:pt>
                <c:pt idx="2">
                  <c:v>0.17</c:v>
                </c:pt>
                <c:pt idx="3">
                  <c:v>0.15</c:v>
                </c:pt>
                <c:pt idx="4">
                  <c:v>0.17</c:v>
                </c:pt>
              </c:numCache>
            </c:numRef>
          </c:val>
          <c:extLst>
            <c:ext xmlns:c16="http://schemas.microsoft.com/office/drawing/2014/chart" uri="{C3380CC4-5D6E-409C-BE32-E72D297353CC}">
              <c16:uniqueId val="{00000001-D96C-4E32-8E8C-E902720500C4}"/>
            </c:ext>
          </c:extLst>
        </c:ser>
        <c:ser>
          <c:idx val="2"/>
          <c:order val="2"/>
          <c:tx>
            <c:strRef>
              <c:f>'Revenue Growth % '!$D$1</c:f>
              <c:strCache>
                <c:ptCount val="1"/>
                <c:pt idx="0">
                  <c:v>Scenario 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'!$D$2:$D$6</c:f>
              <c:numCache>
                <c:formatCode>0%</c:formatCode>
                <c:ptCount val="5"/>
                <c:pt idx="0">
                  <c:v>0.2</c:v>
                </c:pt>
                <c:pt idx="1">
                  <c:v>0.21</c:v>
                </c:pt>
                <c:pt idx="2">
                  <c:v>0.22</c:v>
                </c:pt>
                <c:pt idx="3">
                  <c:v>0.2</c:v>
                </c:pt>
                <c:pt idx="4">
                  <c:v>0.22</c:v>
                </c:pt>
              </c:numCache>
            </c:numRef>
          </c:val>
          <c:extLst>
            <c:ext xmlns:c16="http://schemas.microsoft.com/office/drawing/2014/chart" uri="{C3380CC4-5D6E-409C-BE32-E72D297353CC}">
              <c16:uniqueId val="{00000002-D96C-4E32-8E8C-E902720500C4}"/>
            </c:ext>
          </c:extLst>
        </c:ser>
        <c:dLbls>
          <c:showLegendKey val="0"/>
          <c:showVal val="0"/>
          <c:showCatName val="0"/>
          <c:showSerName val="0"/>
          <c:showPercent val="0"/>
          <c:showBubbleSize val="0"/>
        </c:dLbls>
        <c:gapWidth val="100"/>
        <c:overlap val="-24"/>
        <c:axId val="494625056"/>
        <c:axId val="494630048"/>
      </c:barChart>
      <c:catAx>
        <c:axId val="49462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46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COGS  % Revenue by scenario (2018-2022)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'COGS % Revenue'!$B$1</c:f>
              <c:strCache>
                <c:ptCount val="1"/>
                <c:pt idx="0">
                  <c:v>Scenario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Revenue'!$B$2:$B$6</c:f>
              <c:numCache>
                <c:formatCode>0.0%</c:formatCode>
                <c:ptCount val="5"/>
                <c:pt idx="0">
                  <c:v>0.505</c:v>
                </c:pt>
                <c:pt idx="1">
                  <c:v>0.51249999999999996</c:v>
                </c:pt>
                <c:pt idx="2">
                  <c:v>0.52</c:v>
                </c:pt>
                <c:pt idx="3">
                  <c:v>0.52749999999999997</c:v>
                </c:pt>
                <c:pt idx="4">
                  <c:v>0.53500000000000003</c:v>
                </c:pt>
              </c:numCache>
            </c:numRef>
          </c:val>
          <c:extLst>
            <c:ext xmlns:c16="http://schemas.microsoft.com/office/drawing/2014/chart" uri="{C3380CC4-5D6E-409C-BE32-E72D297353CC}">
              <c16:uniqueId val="{00000000-D28A-496F-98A1-A76E0631A693}"/>
            </c:ext>
          </c:extLst>
        </c:ser>
        <c:ser>
          <c:idx val="1"/>
          <c:order val="1"/>
          <c:tx>
            <c:strRef>
              <c:f>'COGS % Revenue'!$C$1</c:f>
              <c:strCache>
                <c:ptCount val="1"/>
                <c:pt idx="0">
                  <c:v>Scenario 2</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Revenue'!$C$2:$C$6</c:f>
              <c:numCache>
                <c:formatCode>0.0%</c:formatCode>
                <c:ptCount val="5"/>
                <c:pt idx="0">
                  <c:v>0.48</c:v>
                </c:pt>
                <c:pt idx="1">
                  <c:v>0.48499999999999999</c:v>
                </c:pt>
                <c:pt idx="2">
                  <c:v>0.47499999999999998</c:v>
                </c:pt>
                <c:pt idx="3">
                  <c:v>0.47</c:v>
                </c:pt>
                <c:pt idx="4">
                  <c:v>0.46500000000000002</c:v>
                </c:pt>
              </c:numCache>
            </c:numRef>
          </c:val>
          <c:extLst>
            <c:ext xmlns:c16="http://schemas.microsoft.com/office/drawing/2014/chart" uri="{C3380CC4-5D6E-409C-BE32-E72D297353CC}">
              <c16:uniqueId val="{00000001-D28A-496F-98A1-A76E0631A693}"/>
            </c:ext>
          </c:extLst>
        </c:ser>
        <c:ser>
          <c:idx val="2"/>
          <c:order val="2"/>
          <c:tx>
            <c:strRef>
              <c:f>'COGS % Revenue'!$D$1</c:f>
              <c:strCache>
                <c:ptCount val="1"/>
                <c:pt idx="0">
                  <c:v>Scenario 3</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Revenue'!$D$2:$D$6</c:f>
              <c:numCache>
                <c:formatCode>0.0%</c:formatCode>
                <c:ptCount val="5"/>
                <c:pt idx="0">
                  <c:v>0.46</c:v>
                </c:pt>
                <c:pt idx="1">
                  <c:v>0.45500000000000002</c:v>
                </c:pt>
                <c:pt idx="2">
                  <c:v>0.45200000000000001</c:v>
                </c:pt>
                <c:pt idx="3">
                  <c:v>0.45</c:v>
                </c:pt>
                <c:pt idx="4">
                  <c:v>0.44500000000000001</c:v>
                </c:pt>
              </c:numCache>
            </c:numRef>
          </c:val>
          <c:extLst>
            <c:ext xmlns:c16="http://schemas.microsoft.com/office/drawing/2014/chart" uri="{C3380CC4-5D6E-409C-BE32-E72D297353CC}">
              <c16:uniqueId val="{00000002-D28A-496F-98A1-A76E0631A693}"/>
            </c:ext>
          </c:extLst>
        </c:ser>
        <c:dLbls>
          <c:showLegendKey val="0"/>
          <c:showVal val="0"/>
          <c:showCatName val="0"/>
          <c:showSerName val="0"/>
          <c:showPercent val="0"/>
          <c:showBubbleSize val="0"/>
        </c:dLbls>
        <c:gapWidth val="150"/>
        <c:overlap val="100"/>
        <c:axId val="494625056"/>
        <c:axId val="494630048"/>
      </c:barChart>
      <c:catAx>
        <c:axId val="494625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1"/>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4946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Scenario by R&amp;D % Revenue (2018-2022)</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stacked"/>
        <c:varyColors val="0"/>
        <c:ser>
          <c:idx val="0"/>
          <c:order val="0"/>
          <c:tx>
            <c:strRef>
              <c:f>'R&amp;D % Revenue '!$B$1</c:f>
              <c:strCache>
                <c:ptCount val="1"/>
                <c:pt idx="0">
                  <c:v>Scenario 1</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'!$B$2:$B$6</c:f>
              <c:numCache>
                <c:formatCode>0.00%</c:formatCode>
                <c:ptCount val="5"/>
                <c:pt idx="0">
                  <c:v>0.02</c:v>
                </c:pt>
                <c:pt idx="1">
                  <c:v>1.9300000000000001E-2</c:v>
                </c:pt>
                <c:pt idx="2">
                  <c:v>1.9099999999999999E-2</c:v>
                </c:pt>
                <c:pt idx="3">
                  <c:v>1.9E-2</c:v>
                </c:pt>
                <c:pt idx="4">
                  <c:v>1.89E-2</c:v>
                </c:pt>
              </c:numCache>
            </c:numRef>
          </c:val>
          <c:extLst>
            <c:ext xmlns:c16="http://schemas.microsoft.com/office/drawing/2014/chart" uri="{C3380CC4-5D6E-409C-BE32-E72D297353CC}">
              <c16:uniqueId val="{00000000-2FC5-8841-8ACC-D6C2B61FAE43}"/>
            </c:ext>
          </c:extLst>
        </c:ser>
        <c:ser>
          <c:idx val="1"/>
          <c:order val="1"/>
          <c:tx>
            <c:strRef>
              <c:f>'R&amp;D % Revenue '!$C$1</c:f>
              <c:strCache>
                <c:ptCount val="1"/>
                <c:pt idx="0">
                  <c:v>Scenario 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'!$C$2:$C$6</c:f>
              <c:numCache>
                <c:formatCode>0.00%</c:formatCode>
                <c:ptCount val="5"/>
                <c:pt idx="0">
                  <c:v>1.7500000000000002E-2</c:v>
                </c:pt>
                <c:pt idx="1">
                  <c:v>1.7600000000000001E-2</c:v>
                </c:pt>
                <c:pt idx="2">
                  <c:v>1.72E-2</c:v>
                </c:pt>
                <c:pt idx="3">
                  <c:v>1.7299999999999999E-2</c:v>
                </c:pt>
                <c:pt idx="4">
                  <c:v>1.7100000000000001E-2</c:v>
                </c:pt>
              </c:numCache>
            </c:numRef>
          </c:val>
          <c:extLst>
            <c:ext xmlns:c16="http://schemas.microsoft.com/office/drawing/2014/chart" uri="{C3380CC4-5D6E-409C-BE32-E72D297353CC}">
              <c16:uniqueId val="{00000001-2FC5-8841-8ACC-D6C2B61FAE43}"/>
            </c:ext>
          </c:extLst>
        </c:ser>
        <c:ser>
          <c:idx val="2"/>
          <c:order val="2"/>
          <c:tx>
            <c:strRef>
              <c:f>'R&amp;D % Revenue '!$D$1</c:f>
              <c:strCache>
                <c:ptCount val="1"/>
                <c:pt idx="0">
                  <c:v>Scenario 3</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'!$D$2:$D$6</c:f>
              <c:numCache>
                <c:formatCode>0.00%</c:formatCode>
                <c:ptCount val="5"/>
                <c:pt idx="0">
                  <c:v>1.4999999999999999E-2</c:v>
                </c:pt>
                <c:pt idx="1">
                  <c:v>1.4999999999999999E-2</c:v>
                </c:pt>
                <c:pt idx="2">
                  <c:v>1.2500000000000001E-2</c:v>
                </c:pt>
                <c:pt idx="3">
                  <c:v>1.2500000000000001E-2</c:v>
                </c:pt>
                <c:pt idx="4">
                  <c:v>1.2E-2</c:v>
                </c:pt>
              </c:numCache>
            </c:numRef>
          </c:val>
          <c:extLst>
            <c:ext xmlns:c16="http://schemas.microsoft.com/office/drawing/2014/chart" uri="{C3380CC4-5D6E-409C-BE32-E72D297353CC}">
              <c16:uniqueId val="{00000002-2FC5-8841-8ACC-D6C2B61FAE43}"/>
            </c:ext>
          </c:extLst>
        </c:ser>
        <c:dLbls>
          <c:dLblPos val="ctr"/>
          <c:showLegendKey val="0"/>
          <c:showVal val="1"/>
          <c:showCatName val="0"/>
          <c:showSerName val="0"/>
          <c:showPercent val="0"/>
          <c:showBubbleSize val="0"/>
        </c:dLbls>
        <c:gapWidth val="150"/>
        <c:overlap val="100"/>
        <c:axId val="494625056"/>
        <c:axId val="494630048"/>
      </c:barChart>
      <c:catAx>
        <c:axId val="4946250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4625056"/>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Scenario</a:t>
            </a:r>
            <a:r>
              <a:rPr lang="en-US" baseline="0"/>
              <a:t> by </a:t>
            </a:r>
            <a:r>
              <a:rPr lang="en-US"/>
              <a:t>IRR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IRR!$B$1</c:f>
              <c:strCache>
                <c:ptCount val="1"/>
                <c:pt idx="0">
                  <c:v>IRR</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IRR!$B$2:$B$4</c:f>
              <c:numCache>
                <c:formatCode>0%</c:formatCode>
                <c:ptCount val="3"/>
                <c:pt idx="0">
                  <c:v>0.14000000000000001</c:v>
                </c:pt>
                <c:pt idx="1">
                  <c:v>0.19</c:v>
                </c:pt>
                <c:pt idx="2">
                  <c:v>0.23</c:v>
                </c:pt>
              </c:numCache>
            </c:numRef>
          </c:val>
          <c:extLst>
            <c:ext xmlns:c16="http://schemas.microsoft.com/office/drawing/2014/chart" uri="{C3380CC4-5D6E-409C-BE32-E72D297353CC}">
              <c16:uniqueId val="{00000000-8610-554A-B766-2B1CE82A6F34}"/>
            </c:ext>
          </c:extLst>
        </c:ser>
        <c:dLbls>
          <c:showLegendKey val="0"/>
          <c:showVal val="0"/>
          <c:showCatName val="0"/>
          <c:showSerName val="0"/>
          <c:showPercent val="0"/>
          <c:showBubbleSize val="0"/>
        </c:dLbls>
        <c:gapWidth val="100"/>
        <c:overlap val="-24"/>
        <c:axId val="1851059967"/>
        <c:axId val="1035808608"/>
      </c:barChart>
      <c:catAx>
        <c:axId val="1851059967"/>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808608"/>
        <c:crosses val="autoZero"/>
        <c:auto val="1"/>
        <c:lblAlgn val="ctr"/>
        <c:lblOffset val="100"/>
        <c:noMultiLvlLbl val="0"/>
      </c:catAx>
      <c:valAx>
        <c:axId val="10358086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510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Scenario</a:t>
            </a:r>
            <a:r>
              <a:rPr lang="en-US" sz="1800" b="1" i="0" u="none" strike="noStrike" baseline="0"/>
              <a:t> by </a:t>
            </a:r>
            <a:r>
              <a:rPr lang="en-US"/>
              <a:t>Net</a:t>
            </a:r>
            <a:r>
              <a:rPr lang="en-US" baseline="0"/>
              <a:t> income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spPr>
            <a:solidFill>
              <a:schemeClr val="tx2">
                <a:lumMod val="40000"/>
                <a:lumOff val="60000"/>
              </a:schemeClr>
            </a:solidFill>
          </c:spPr>
          <c:dPt>
            <c:idx val="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27-244C-BCAC-8F06A9BFB4EA}"/>
              </c:ext>
            </c:extLst>
          </c:dPt>
          <c:dPt>
            <c:idx val="1"/>
            <c:bubble3D val="0"/>
            <c:spPr>
              <a:solidFill>
                <a:schemeClr val="tx2">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27-244C-BCAC-8F06A9BFB4EA}"/>
              </c:ext>
            </c:extLst>
          </c:dPt>
          <c:dPt>
            <c:idx val="2"/>
            <c:bubble3D val="0"/>
            <c:spPr>
              <a:solidFill>
                <a:schemeClr val="bg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B27-244C-BCAC-8F06A9BFB4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'Net income '!$A$2:$A$4</c:f>
              <c:numCache>
                <c:formatCode>General</c:formatCode>
                <c:ptCount val="3"/>
                <c:pt idx="0">
                  <c:v>1</c:v>
                </c:pt>
                <c:pt idx="1">
                  <c:v>2</c:v>
                </c:pt>
                <c:pt idx="2">
                  <c:v>3</c:v>
                </c:pt>
              </c:numCache>
            </c:numRef>
          </c:cat>
          <c:val>
            <c:numRef>
              <c:f>'Net income '!$B$2:$B$4</c:f>
              <c:numCache>
                <c:formatCode>"$"#,##0</c:formatCode>
                <c:ptCount val="3"/>
                <c:pt idx="0">
                  <c:v>80098</c:v>
                </c:pt>
                <c:pt idx="1">
                  <c:v>106053</c:v>
                </c:pt>
                <c:pt idx="2">
                  <c:v>130700</c:v>
                </c:pt>
              </c:numCache>
            </c:numRef>
          </c:val>
          <c:extLst>
            <c:ext xmlns:c16="http://schemas.microsoft.com/office/drawing/2014/chart" uri="{C3380CC4-5D6E-409C-BE32-E72D297353CC}">
              <c16:uniqueId val="{00000006-8B27-244C-BCAC-8F06A9BFB4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766097987751527"/>
          <c:y val="0.3943616943715369"/>
          <c:w val="0.19567235345581802"/>
          <c:h val="0.294494021580635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solidFill>
                  <a:schemeClr val="tx1"/>
                </a:solidFill>
                <a:effectLst/>
              </a:rPr>
              <a:t>Scenario by Yearly</a:t>
            </a:r>
            <a:r>
              <a:rPr lang="en-US" sz="1600" b="1" i="0" u="none" strike="noStrike" baseline="0">
                <a:effectLst/>
              </a:rPr>
              <a:t> </a:t>
            </a:r>
            <a:r>
              <a:rPr lang="en-US">
                <a:solidFill>
                  <a:schemeClr val="tx1"/>
                </a:solidFill>
              </a:rPr>
              <a:t>Revenue Growth % (2018-2022)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Growth % '!$B$1</c:f>
              <c:strCache>
                <c:ptCount val="1"/>
                <c:pt idx="0">
                  <c:v>Scenario 1</c:v>
                </c:pt>
              </c:strCache>
            </c:strRef>
          </c:tx>
          <c:spPr>
            <a:ln w="412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'!$B$2:$B$6</c:f>
              <c:numCache>
                <c:formatCode>0%</c:formatCode>
                <c:ptCount val="5"/>
                <c:pt idx="0">
                  <c:v>0.1</c:v>
                </c:pt>
                <c:pt idx="1">
                  <c:v>0.11</c:v>
                </c:pt>
                <c:pt idx="2">
                  <c:v>0.12</c:v>
                </c:pt>
                <c:pt idx="3">
                  <c:v>0.1</c:v>
                </c:pt>
                <c:pt idx="4">
                  <c:v>0.13</c:v>
                </c:pt>
              </c:numCache>
            </c:numRef>
          </c:val>
          <c:smooth val="0"/>
          <c:extLst>
            <c:ext xmlns:c16="http://schemas.microsoft.com/office/drawing/2014/chart" uri="{C3380CC4-5D6E-409C-BE32-E72D297353CC}">
              <c16:uniqueId val="{00000000-A976-4D44-9AC0-A28275424187}"/>
            </c:ext>
          </c:extLst>
        </c:ser>
        <c:ser>
          <c:idx val="1"/>
          <c:order val="1"/>
          <c:tx>
            <c:strRef>
              <c:f>'Revenue Growth % '!$C$1</c:f>
              <c:strCache>
                <c:ptCount val="1"/>
                <c:pt idx="0">
                  <c:v>Scenario 2</c:v>
                </c:pt>
              </c:strCache>
            </c:strRef>
          </c:tx>
          <c:spPr>
            <a:ln w="4127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'!$C$2:$C$6</c:f>
              <c:numCache>
                <c:formatCode>0%</c:formatCode>
                <c:ptCount val="5"/>
                <c:pt idx="0">
                  <c:v>0.15</c:v>
                </c:pt>
                <c:pt idx="1">
                  <c:v>0.16</c:v>
                </c:pt>
                <c:pt idx="2">
                  <c:v>0.17</c:v>
                </c:pt>
                <c:pt idx="3">
                  <c:v>0.15</c:v>
                </c:pt>
                <c:pt idx="4">
                  <c:v>0.17</c:v>
                </c:pt>
              </c:numCache>
            </c:numRef>
          </c:val>
          <c:smooth val="0"/>
          <c:extLst>
            <c:ext xmlns:c16="http://schemas.microsoft.com/office/drawing/2014/chart" uri="{C3380CC4-5D6E-409C-BE32-E72D297353CC}">
              <c16:uniqueId val="{00000001-A976-4D44-9AC0-A28275424187}"/>
            </c:ext>
          </c:extLst>
        </c:ser>
        <c:ser>
          <c:idx val="2"/>
          <c:order val="2"/>
          <c:tx>
            <c:strRef>
              <c:f>'Revenue Growth % '!$D$1</c:f>
              <c:strCache>
                <c:ptCount val="1"/>
                <c:pt idx="0">
                  <c:v>Scenario 3</c:v>
                </c:pt>
              </c:strCache>
            </c:strRef>
          </c:tx>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Growth % '!$D$2:$D$6</c:f>
              <c:numCache>
                <c:formatCode>0%</c:formatCode>
                <c:ptCount val="5"/>
                <c:pt idx="0">
                  <c:v>0.2</c:v>
                </c:pt>
                <c:pt idx="1">
                  <c:v>0.21</c:v>
                </c:pt>
                <c:pt idx="2">
                  <c:v>0.22</c:v>
                </c:pt>
                <c:pt idx="3">
                  <c:v>0.2</c:v>
                </c:pt>
                <c:pt idx="4">
                  <c:v>0.22</c:v>
                </c:pt>
              </c:numCache>
            </c:numRef>
          </c:val>
          <c:smooth val="0"/>
          <c:extLst>
            <c:ext xmlns:c16="http://schemas.microsoft.com/office/drawing/2014/chart" uri="{C3380CC4-5D6E-409C-BE32-E72D297353CC}">
              <c16:uniqueId val="{00000002-A976-4D44-9AC0-A28275424187}"/>
            </c:ext>
          </c:extLst>
        </c:ser>
        <c:dLbls>
          <c:showLegendKey val="0"/>
          <c:showVal val="0"/>
          <c:showCatName val="0"/>
          <c:showSerName val="0"/>
          <c:showPercent val="0"/>
          <c:showBubbleSize val="0"/>
        </c:dLbls>
        <c:marker val="1"/>
        <c:smooth val="0"/>
        <c:axId val="494625056"/>
        <c:axId val="494630048"/>
      </c:lineChart>
      <c:catAx>
        <c:axId val="49462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46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Scenario by Yearly COGS  % Revenue (2018-2022)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'COGS % Revenue'!$B$1</c:f>
              <c:strCache>
                <c:ptCount val="1"/>
                <c:pt idx="0">
                  <c:v>Scenario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Revenue'!$B$2:$B$6</c:f>
              <c:numCache>
                <c:formatCode>0.0%</c:formatCode>
                <c:ptCount val="5"/>
                <c:pt idx="0">
                  <c:v>0.505</c:v>
                </c:pt>
                <c:pt idx="1">
                  <c:v>0.51249999999999996</c:v>
                </c:pt>
                <c:pt idx="2">
                  <c:v>0.52</c:v>
                </c:pt>
                <c:pt idx="3">
                  <c:v>0.52749999999999997</c:v>
                </c:pt>
                <c:pt idx="4">
                  <c:v>0.53500000000000003</c:v>
                </c:pt>
              </c:numCache>
            </c:numRef>
          </c:val>
          <c:extLst>
            <c:ext xmlns:c16="http://schemas.microsoft.com/office/drawing/2014/chart" uri="{C3380CC4-5D6E-409C-BE32-E72D297353CC}">
              <c16:uniqueId val="{00000000-B30F-4FF3-ACAE-27B04225037A}"/>
            </c:ext>
          </c:extLst>
        </c:ser>
        <c:ser>
          <c:idx val="1"/>
          <c:order val="1"/>
          <c:tx>
            <c:strRef>
              <c:f>'COGS % Revenue'!$C$1</c:f>
              <c:strCache>
                <c:ptCount val="1"/>
                <c:pt idx="0">
                  <c:v>Scenario 2</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Revenue'!$C$2:$C$6</c:f>
              <c:numCache>
                <c:formatCode>0.0%</c:formatCode>
                <c:ptCount val="5"/>
                <c:pt idx="0">
                  <c:v>0.48</c:v>
                </c:pt>
                <c:pt idx="1">
                  <c:v>0.48499999999999999</c:v>
                </c:pt>
                <c:pt idx="2">
                  <c:v>0.47499999999999998</c:v>
                </c:pt>
                <c:pt idx="3">
                  <c:v>0.47</c:v>
                </c:pt>
                <c:pt idx="4">
                  <c:v>0.46500000000000002</c:v>
                </c:pt>
              </c:numCache>
            </c:numRef>
          </c:val>
          <c:extLst>
            <c:ext xmlns:c16="http://schemas.microsoft.com/office/drawing/2014/chart" uri="{C3380CC4-5D6E-409C-BE32-E72D297353CC}">
              <c16:uniqueId val="{00000001-B30F-4FF3-ACAE-27B04225037A}"/>
            </c:ext>
          </c:extLst>
        </c:ser>
        <c:ser>
          <c:idx val="2"/>
          <c:order val="2"/>
          <c:tx>
            <c:strRef>
              <c:f>'COGS % Revenue'!$D$1</c:f>
              <c:strCache>
                <c:ptCount val="1"/>
                <c:pt idx="0">
                  <c:v>Scenario 3</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'COGS % Revenue'!$D$2:$D$6</c:f>
              <c:numCache>
                <c:formatCode>0.0%</c:formatCode>
                <c:ptCount val="5"/>
                <c:pt idx="0">
                  <c:v>0.46</c:v>
                </c:pt>
                <c:pt idx="1">
                  <c:v>0.45500000000000002</c:v>
                </c:pt>
                <c:pt idx="2">
                  <c:v>0.45200000000000001</c:v>
                </c:pt>
                <c:pt idx="3">
                  <c:v>0.45</c:v>
                </c:pt>
                <c:pt idx="4">
                  <c:v>0.44500000000000001</c:v>
                </c:pt>
              </c:numCache>
            </c:numRef>
          </c:val>
          <c:extLst>
            <c:ext xmlns:c16="http://schemas.microsoft.com/office/drawing/2014/chart" uri="{C3380CC4-5D6E-409C-BE32-E72D297353CC}">
              <c16:uniqueId val="{00000002-B30F-4FF3-ACAE-27B04225037A}"/>
            </c:ext>
          </c:extLst>
        </c:ser>
        <c:dLbls>
          <c:showLegendKey val="0"/>
          <c:showVal val="0"/>
          <c:showCatName val="0"/>
          <c:showSerName val="0"/>
          <c:showPercent val="0"/>
          <c:showBubbleSize val="0"/>
        </c:dLbls>
        <c:gapWidth val="150"/>
        <c:overlap val="100"/>
        <c:axId val="494625056"/>
        <c:axId val="494630048"/>
      </c:barChart>
      <c:catAx>
        <c:axId val="494625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1"/>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49462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Scenario by R&amp;D % Revenue (2018-2022)</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5.343807140977385E-2"/>
          <c:y val="0.10734984565670527"/>
          <c:w val="0.90516351562577024"/>
          <c:h val="0.76756643946398528"/>
        </c:manualLayout>
      </c:layout>
      <c:barChart>
        <c:barDir val="bar"/>
        <c:grouping val="stacked"/>
        <c:varyColors val="0"/>
        <c:ser>
          <c:idx val="0"/>
          <c:order val="0"/>
          <c:tx>
            <c:strRef>
              <c:f>'R&amp;D % Revenue '!$B$1</c:f>
              <c:strCache>
                <c:ptCount val="1"/>
                <c:pt idx="0">
                  <c:v>Scenario 1</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'!$B$2:$B$6</c:f>
              <c:numCache>
                <c:formatCode>0.00%</c:formatCode>
                <c:ptCount val="5"/>
                <c:pt idx="0">
                  <c:v>0.02</c:v>
                </c:pt>
                <c:pt idx="1">
                  <c:v>1.9300000000000001E-2</c:v>
                </c:pt>
                <c:pt idx="2">
                  <c:v>1.9099999999999999E-2</c:v>
                </c:pt>
                <c:pt idx="3">
                  <c:v>1.9E-2</c:v>
                </c:pt>
                <c:pt idx="4">
                  <c:v>1.89E-2</c:v>
                </c:pt>
              </c:numCache>
            </c:numRef>
          </c:val>
          <c:extLst>
            <c:ext xmlns:c16="http://schemas.microsoft.com/office/drawing/2014/chart" uri="{C3380CC4-5D6E-409C-BE32-E72D297353CC}">
              <c16:uniqueId val="{00000000-11B0-2C44-AA3B-D7E63DF2C406}"/>
            </c:ext>
          </c:extLst>
        </c:ser>
        <c:ser>
          <c:idx val="1"/>
          <c:order val="1"/>
          <c:tx>
            <c:strRef>
              <c:f>'R&amp;D % Revenue '!$C$1</c:f>
              <c:strCache>
                <c:ptCount val="1"/>
                <c:pt idx="0">
                  <c:v>Scenario 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'!$C$2:$C$6</c:f>
              <c:numCache>
                <c:formatCode>0.00%</c:formatCode>
                <c:ptCount val="5"/>
                <c:pt idx="0">
                  <c:v>1.7500000000000002E-2</c:v>
                </c:pt>
                <c:pt idx="1">
                  <c:v>1.7600000000000001E-2</c:v>
                </c:pt>
                <c:pt idx="2">
                  <c:v>1.72E-2</c:v>
                </c:pt>
                <c:pt idx="3">
                  <c:v>1.7299999999999999E-2</c:v>
                </c:pt>
                <c:pt idx="4">
                  <c:v>1.7100000000000001E-2</c:v>
                </c:pt>
              </c:numCache>
            </c:numRef>
          </c:val>
          <c:extLst>
            <c:ext xmlns:c16="http://schemas.microsoft.com/office/drawing/2014/chart" uri="{C3380CC4-5D6E-409C-BE32-E72D297353CC}">
              <c16:uniqueId val="{00000001-11B0-2C44-AA3B-D7E63DF2C406}"/>
            </c:ext>
          </c:extLst>
        </c:ser>
        <c:ser>
          <c:idx val="2"/>
          <c:order val="2"/>
          <c:tx>
            <c:strRef>
              <c:f>'R&amp;D % Revenue '!$D$1</c:f>
              <c:strCache>
                <c:ptCount val="1"/>
                <c:pt idx="0">
                  <c:v>Scenario 3</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'R&amp;D % Revenue '!$D$2:$D$6</c:f>
              <c:numCache>
                <c:formatCode>0.00%</c:formatCode>
                <c:ptCount val="5"/>
                <c:pt idx="0">
                  <c:v>1.4999999999999999E-2</c:v>
                </c:pt>
                <c:pt idx="1">
                  <c:v>1.4999999999999999E-2</c:v>
                </c:pt>
                <c:pt idx="2">
                  <c:v>1.2500000000000001E-2</c:v>
                </c:pt>
                <c:pt idx="3">
                  <c:v>1.2500000000000001E-2</c:v>
                </c:pt>
                <c:pt idx="4">
                  <c:v>1.2E-2</c:v>
                </c:pt>
              </c:numCache>
            </c:numRef>
          </c:val>
          <c:extLst>
            <c:ext xmlns:c16="http://schemas.microsoft.com/office/drawing/2014/chart" uri="{C3380CC4-5D6E-409C-BE32-E72D297353CC}">
              <c16:uniqueId val="{00000002-11B0-2C44-AA3B-D7E63DF2C406}"/>
            </c:ext>
          </c:extLst>
        </c:ser>
        <c:dLbls>
          <c:dLblPos val="ctr"/>
          <c:showLegendKey val="0"/>
          <c:showVal val="1"/>
          <c:showCatName val="0"/>
          <c:showSerName val="0"/>
          <c:showPercent val="0"/>
          <c:showBubbleSize val="0"/>
        </c:dLbls>
        <c:gapWidth val="150"/>
        <c:overlap val="100"/>
        <c:axId val="494625056"/>
        <c:axId val="494630048"/>
      </c:barChart>
      <c:catAx>
        <c:axId val="4946250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4630048"/>
        <c:crosses val="autoZero"/>
        <c:auto val="1"/>
        <c:lblAlgn val="ctr"/>
        <c:lblOffset val="100"/>
        <c:noMultiLvlLbl val="0"/>
      </c:catAx>
      <c:valAx>
        <c:axId val="494630048"/>
        <c:scaling>
          <c:orientation val="minMax"/>
        </c:scaling>
        <c:delete val="1"/>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crossAx val="494625056"/>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19371829398608634"/>
          <c:y val="0.89172619011980536"/>
          <c:w val="0.5957078902043822"/>
          <c:h val="9.19798793479348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Scenario by NPV</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NPV!$A$1</c:f>
              <c:strCache>
                <c:ptCount val="1"/>
                <c:pt idx="0">
                  <c:v>Scenario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NPV!$A$2:$A$4</c:f>
              <c:numCache>
                <c:formatCode>General</c:formatCode>
                <c:ptCount val="3"/>
                <c:pt idx="0">
                  <c:v>1</c:v>
                </c:pt>
                <c:pt idx="1">
                  <c:v>2</c:v>
                </c:pt>
                <c:pt idx="2">
                  <c:v>3</c:v>
                </c:pt>
              </c:numCache>
            </c:numRef>
          </c:val>
          <c:extLst>
            <c:ext xmlns:c16="http://schemas.microsoft.com/office/drawing/2014/chart" uri="{C3380CC4-5D6E-409C-BE32-E72D297353CC}">
              <c16:uniqueId val="{00000000-A658-EC48-887F-CA7FC61586D6}"/>
            </c:ext>
          </c:extLst>
        </c:ser>
        <c:ser>
          <c:idx val="1"/>
          <c:order val="1"/>
          <c:tx>
            <c:strRef>
              <c:f>NPV!$B$1</c:f>
              <c:strCache>
                <c:ptCount val="1"/>
                <c:pt idx="0">
                  <c:v>NPV</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NPV!$B$2:$B$4</c:f>
              <c:numCache>
                <c:formatCode>"$"#,##0.00_);[Red]\("$"#,##0.00\)</c:formatCode>
                <c:ptCount val="3"/>
                <c:pt idx="0">
                  <c:v>19522.810000000001</c:v>
                </c:pt>
                <c:pt idx="1">
                  <c:v>38500.879999999997</c:v>
                </c:pt>
                <c:pt idx="2" formatCode="&quot;$&quot;#,##0.00">
                  <c:v>57253.66</c:v>
                </c:pt>
              </c:numCache>
            </c:numRef>
          </c:val>
          <c:extLst>
            <c:ext xmlns:c16="http://schemas.microsoft.com/office/drawing/2014/chart" uri="{C3380CC4-5D6E-409C-BE32-E72D297353CC}">
              <c16:uniqueId val="{00000001-A658-EC48-887F-CA7FC61586D6}"/>
            </c:ext>
          </c:extLst>
        </c:ser>
        <c:dLbls>
          <c:showLegendKey val="0"/>
          <c:showVal val="0"/>
          <c:showCatName val="0"/>
          <c:showSerName val="0"/>
          <c:showPercent val="0"/>
          <c:showBubbleSize val="0"/>
        </c:dLbls>
        <c:gapWidth val="115"/>
        <c:overlap val="-20"/>
        <c:axId val="1978984079"/>
        <c:axId val="1796177648"/>
      </c:barChart>
      <c:catAx>
        <c:axId val="1978984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796177648"/>
        <c:crosses val="autoZero"/>
        <c:auto val="1"/>
        <c:lblAlgn val="ctr"/>
        <c:lblOffset val="100"/>
        <c:noMultiLvlLbl val="0"/>
      </c:catAx>
      <c:valAx>
        <c:axId val="1796177648"/>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8984079"/>
        <c:crosses val="autoZero"/>
        <c:crossBetween val="between"/>
      </c:valAx>
      <c:spPr>
        <a:noFill/>
        <a:ln>
          <a:noFill/>
        </a:ln>
        <a:effectLst/>
      </c:spPr>
    </c:plotArea>
    <c:plotVisOnly val="1"/>
    <c:dispBlanksAs val="gap"/>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Scenario</a:t>
            </a:r>
            <a:r>
              <a:rPr lang="en-US" baseline="0"/>
              <a:t> by </a:t>
            </a:r>
            <a:r>
              <a:rPr lang="en-US"/>
              <a:t>IRR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IRR!$B$1</c:f>
              <c:strCache>
                <c:ptCount val="1"/>
                <c:pt idx="0">
                  <c:v>IRR</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IRR!$B$2:$B$4</c:f>
              <c:numCache>
                <c:formatCode>0%</c:formatCode>
                <c:ptCount val="3"/>
                <c:pt idx="0">
                  <c:v>0.14000000000000001</c:v>
                </c:pt>
                <c:pt idx="1">
                  <c:v>0.19</c:v>
                </c:pt>
                <c:pt idx="2">
                  <c:v>0.23</c:v>
                </c:pt>
              </c:numCache>
            </c:numRef>
          </c:val>
          <c:extLst>
            <c:ext xmlns:c16="http://schemas.microsoft.com/office/drawing/2014/chart" uri="{C3380CC4-5D6E-409C-BE32-E72D297353CC}">
              <c16:uniqueId val="{00000001-A403-A841-BA37-F328A17B7F40}"/>
            </c:ext>
          </c:extLst>
        </c:ser>
        <c:dLbls>
          <c:showLegendKey val="0"/>
          <c:showVal val="0"/>
          <c:showCatName val="0"/>
          <c:showSerName val="0"/>
          <c:showPercent val="0"/>
          <c:showBubbleSize val="0"/>
        </c:dLbls>
        <c:gapWidth val="100"/>
        <c:overlap val="-24"/>
        <c:axId val="1851059967"/>
        <c:axId val="1035808608"/>
      </c:barChart>
      <c:catAx>
        <c:axId val="1851059967"/>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808608"/>
        <c:crosses val="autoZero"/>
        <c:auto val="1"/>
        <c:lblAlgn val="ctr"/>
        <c:lblOffset val="100"/>
        <c:noMultiLvlLbl val="0"/>
      </c:catAx>
      <c:valAx>
        <c:axId val="10358086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510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Net</a:t>
            </a:r>
            <a:r>
              <a:rPr lang="en-US" baseline="0"/>
              <a:t> income by Scenario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spPr>
            <a:solidFill>
              <a:schemeClr val="tx2">
                <a:lumMod val="40000"/>
                <a:lumOff val="60000"/>
              </a:schemeClr>
            </a:solidFill>
          </c:spPr>
          <c:dPt>
            <c:idx val="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689-974E-830F-404EC6CB4EBF}"/>
              </c:ext>
            </c:extLst>
          </c:dPt>
          <c:dPt>
            <c:idx val="1"/>
            <c:bubble3D val="0"/>
            <c:spPr>
              <a:solidFill>
                <a:schemeClr val="tx2">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A5-4178-A9B6-836BFA0F2F66}"/>
              </c:ext>
            </c:extLst>
          </c:dPt>
          <c:dPt>
            <c:idx val="2"/>
            <c:bubble3D val="0"/>
            <c:spPr>
              <a:solidFill>
                <a:schemeClr val="bg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89-974E-830F-404EC6CB4E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'Net income '!$A$2:$A$4</c:f>
              <c:numCache>
                <c:formatCode>General</c:formatCode>
                <c:ptCount val="3"/>
                <c:pt idx="0">
                  <c:v>1</c:v>
                </c:pt>
                <c:pt idx="1">
                  <c:v>2</c:v>
                </c:pt>
                <c:pt idx="2">
                  <c:v>3</c:v>
                </c:pt>
              </c:numCache>
            </c:numRef>
          </c:cat>
          <c:val>
            <c:numRef>
              <c:f>'Net income '!$B$2:$B$4</c:f>
              <c:numCache>
                <c:formatCode>"$"#,##0</c:formatCode>
                <c:ptCount val="3"/>
                <c:pt idx="0">
                  <c:v>80098</c:v>
                </c:pt>
                <c:pt idx="1">
                  <c:v>106053</c:v>
                </c:pt>
                <c:pt idx="2">
                  <c:v>130700</c:v>
                </c:pt>
              </c:numCache>
            </c:numRef>
          </c:val>
          <c:extLst>
            <c:ext xmlns:c16="http://schemas.microsoft.com/office/drawing/2014/chart" uri="{C3380CC4-5D6E-409C-BE32-E72D297353CC}">
              <c16:uniqueId val="{00000000-A689-974E-830F-404EC6CB4E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766097987751527"/>
          <c:y val="0.3943616943715369"/>
          <c:w val="0.19567235345581802"/>
          <c:h val="0.294494021580635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14942</xdr:colOff>
      <xdr:row>1</xdr:row>
      <xdr:rowOff>268942</xdr:rowOff>
    </xdr:from>
    <xdr:to>
      <xdr:col>8</xdr:col>
      <xdr:colOff>677334</xdr:colOff>
      <xdr:row>51</xdr:row>
      <xdr:rowOff>84667</xdr:rowOff>
    </xdr:to>
    <xdr:sp macro="" textlink="">
      <xdr:nvSpPr>
        <xdr:cNvPr id="2" name="TextBox 1">
          <a:extLst>
            <a:ext uri="{FF2B5EF4-FFF2-40B4-BE49-F238E27FC236}">
              <a16:creationId xmlns:a16="http://schemas.microsoft.com/office/drawing/2014/main" id="{66D616DD-8104-8E4D-B929-2CBC9F8BD18E}"/>
            </a:ext>
          </a:extLst>
        </xdr:cNvPr>
        <xdr:cNvSpPr txBox="1"/>
      </xdr:nvSpPr>
      <xdr:spPr>
        <a:xfrm>
          <a:off x="14942" y="472142"/>
          <a:ext cx="7435725" cy="1007732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Times New Roman" panose="02020603050405020304" pitchFamily="18" charset="0"/>
              <a:ea typeface="+mn-ea"/>
              <a:cs typeface="Times New Roman" panose="02020603050405020304" pitchFamily="18" charset="0"/>
            </a:rPr>
            <a:t>Executive</a:t>
          </a:r>
          <a:r>
            <a:rPr lang="en-US" sz="1200" b="1" baseline="0">
              <a:solidFill>
                <a:schemeClr val="dk1"/>
              </a:solidFill>
              <a:effectLst/>
              <a:latin typeface="Times New Roman" panose="02020603050405020304" pitchFamily="18" charset="0"/>
              <a:ea typeface="+mn-ea"/>
              <a:cs typeface="Times New Roman" panose="02020603050405020304" pitchFamily="18" charset="0"/>
            </a:rPr>
            <a:t> Summary</a:t>
          </a:r>
          <a:endParaRPr lang="en-US" sz="1200">
            <a:effectLst/>
            <a:latin typeface="Times New Roman" panose="02020603050405020304" pitchFamily="18" charset="0"/>
            <a:cs typeface="Times New Roman" panose="02020603050405020304" pitchFamily="18" charset="0"/>
          </a:endParaRPr>
        </a:p>
        <a:p>
          <a:r>
            <a:rPr lang="en-US" sz="1200" b="1" baseline="0">
              <a:solidFill>
                <a:schemeClr val="dk1"/>
              </a:solidFill>
              <a:effectLst/>
              <a:latin typeface="Times New Roman" panose="02020603050405020304" pitchFamily="18" charset="0"/>
              <a:ea typeface="+mn-ea"/>
              <a:cs typeface="Times New Roman" panose="02020603050405020304" pitchFamily="18" charset="0"/>
            </a:rPr>
            <a:t>To: CFO</a:t>
          </a:r>
          <a:endParaRPr lang="en-US" sz="1200">
            <a:effectLst/>
            <a:latin typeface="Times New Roman" panose="02020603050405020304" pitchFamily="18" charset="0"/>
            <a:cs typeface="Times New Roman" panose="02020603050405020304" pitchFamily="18" charset="0"/>
          </a:endParaRPr>
        </a:p>
        <a:p>
          <a:r>
            <a:rPr lang="en-US" sz="1200" b="1" baseline="0">
              <a:solidFill>
                <a:schemeClr val="dk1"/>
              </a:solidFill>
              <a:effectLst/>
              <a:latin typeface="Times New Roman" panose="02020603050405020304" pitchFamily="18" charset="0"/>
              <a:ea typeface="+mn-ea"/>
              <a:cs typeface="Times New Roman" panose="02020603050405020304" pitchFamily="18" charset="0"/>
            </a:rPr>
            <a:t>Subject: Financial Modeling </a:t>
          </a:r>
        </a:p>
        <a:p>
          <a:r>
            <a:rPr lang="en-US" sz="1200" b="1" baseline="0">
              <a:solidFill>
                <a:schemeClr val="dk1"/>
              </a:solidFill>
              <a:effectLst/>
              <a:latin typeface="Times New Roman" panose="02020603050405020304" pitchFamily="18" charset="0"/>
              <a:ea typeface="+mn-ea"/>
              <a:cs typeface="Times New Roman" panose="02020603050405020304" pitchFamily="18" charset="0"/>
            </a:rPr>
            <a:t>From: Team 4</a:t>
          </a:r>
        </a:p>
        <a:p>
          <a:pPr rtl="0"/>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Introduction:</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To begin, we analyzed the 3 scenarios in order to rate each one of them depending on their profitability. We used the IF function combined with the data validation option to analyze each scenario. When applying the data validation we were able to keep the same graph and the only aspect  that changed were the numbers. Since there  were 3 IF functions used in one formula after choosing a number on the data validation (either 1, 2 or 3) we were also able to acquire the Net Present Value and IRR of each scenario. Using all the data acquired from implementing the data validation and IF funciones, we created graphs for each one of these variables. In the dashboard we have implemented graphs for each scenario in relation to the NPV, Net income, IRR,, yearly revenue growth and yearly COGS revenue. All these scenarios were taken between the years 2018 and 2022 and they are displayed as a sum.</a:t>
          </a:r>
        </a:p>
        <a:p>
          <a:pPr rtl="0"/>
          <a:br>
            <a:rPr lang="en-US" sz="1200" b="0" i="0">
              <a:solidFill>
                <a:schemeClr val="dk1"/>
              </a:solidFill>
              <a:effectLst/>
              <a:latin typeface="Times New Roman" panose="02020603050405020304" pitchFamily="18" charset="0"/>
              <a:ea typeface="+mn-ea"/>
              <a:cs typeface="Times New Roman" panose="02020603050405020304" pitchFamily="18" charset="0"/>
            </a:rPr>
          </a:br>
          <a:r>
            <a:rPr lang="en-US" sz="1200" b="0" i="0">
              <a:solidFill>
                <a:schemeClr val="dk1"/>
              </a:solidFill>
              <a:effectLst/>
              <a:latin typeface="Times New Roman" panose="02020603050405020304" pitchFamily="18" charset="0"/>
              <a:ea typeface="+mn-ea"/>
              <a:cs typeface="Times New Roman" panose="02020603050405020304" pitchFamily="18" charset="0"/>
            </a:rPr>
            <a:t>Analyisis:</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While analyzing the graphs formulated for Scenarios by Net present values it is very noticeable that scenario number 3 has a high NPV compared to scenario 1 and 2. In scenario 3 the NPV is $57,253.66, while in scenario 1 the NPV is $19,522.81 and scenario 2 with $38,500.88. Based on the NPV, we can conclude that the higher the NPV is the better the investment will be. It is also important to consider that we can compare the NPV's of these 3 scenarios since the time variables all lall through the same time lapse and the initial investment is the same of an amount of $50,000 dollars. All the scenarios are expected to generate profits; however the third scenario will be the higher profit generator.  </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For the second graph on the top right, it is very noticeable that the top scenario for net income is also the tirs scenario, as it generates a total of $130,700 for net income. Second will be scenario number 2 with $106,053 and in third place we have scenario 1 with $80,098. The results from the send graph are reflected similarly to the results from the graph "scenario by NPV, as the same scenarios were in the same order. </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In the third graph labeled "Scenario by IRR '' we are analyzing each scenario's internal rate of return. The best option in terms of IRR would again be scenario 3. Since for scenario, the return on investment is at 23%, this option will grant us more profits and a quicker turnaround on investment returns. The second best option would be scenario number two, with an IRR of 19%, and scenario three with an IRR of 14%. </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On the fourth graph labeled "Scenario by yearly revenue growth % through the years 2018 and 2022, year 2 and 3 stay consistent to each other with their yearly percentages growth. Even though scenario number 3 starts at 20% and scenario 2 starts at 15% they must gain 2% revenue growth by 2022. When analyzing scenario number one, it starts at 10%, however the growth is 3% highway, with 13% by the end of 2022. In this case we can determine that scenario number one has grown 1% more in comparison to the other scenarios when analyzing them from their starting point in 2018. </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 The next graph labeled "Scenario by yearly COGS Revenue (2018-2022)" shows that scenario 1 has a higher percentage of COGS during all the years between 2018 and 2022. In second place would be scenario 2 with percentages in the mid to high forties and finally scenario 3 with percentages only between the mid forties. The higher percentage of COGS in the first scenario could possibly explain why their yearly revenue growth is at 3% by the end of 2022.</a:t>
          </a:r>
        </a:p>
        <a:p>
          <a:pPr rtl="0"/>
          <a:br>
            <a:rPr lang="en-US" sz="1200">
              <a:effectLst/>
              <a:latin typeface="Times New Roman" panose="02020603050405020304" pitchFamily="18" charset="0"/>
              <a:cs typeface="Times New Roman" panose="02020603050405020304" pitchFamily="18" charset="0"/>
            </a:rPr>
          </a:br>
          <a:endParaRPr lang="en-US" sz="1200">
            <a:effectLst/>
            <a:latin typeface="Times New Roman" panose="02020603050405020304" pitchFamily="18" charset="0"/>
            <a:cs typeface="Times New Roman" panose="02020603050405020304" pitchFamily="18" charset="0"/>
          </a:endParaRPr>
        </a:p>
        <a:p>
          <a:pPr rtl="0"/>
          <a:br>
            <a:rPr lang="en-US" sz="1200">
              <a:effectLst/>
              <a:latin typeface="Times New Roman" panose="02020603050405020304" pitchFamily="18" charset="0"/>
              <a:cs typeface="Times New Roman" panose="02020603050405020304" pitchFamily="18" charset="0"/>
            </a:rPr>
          </a:br>
          <a:r>
            <a:rPr lang="en-US" sz="1200" b="0" i="0">
              <a:solidFill>
                <a:schemeClr val="dk1"/>
              </a:solidFill>
              <a:effectLst/>
              <a:latin typeface="Times New Roman" panose="02020603050405020304" pitchFamily="18" charset="0"/>
              <a:ea typeface="+mn-ea"/>
              <a:cs typeface="Times New Roman" panose="02020603050405020304" pitchFamily="18" charset="0"/>
            </a:rPr>
            <a:t>Recommendations:</a:t>
          </a:r>
        </a:p>
        <a:p>
          <a:pPr rtl="0"/>
          <a:r>
            <a:rPr lang="en-US" sz="1200" b="0" i="0">
              <a:solidFill>
                <a:schemeClr val="dk1"/>
              </a:solidFill>
              <a:effectLst/>
              <a:latin typeface="Times New Roman" panose="02020603050405020304" pitchFamily="18" charset="0"/>
              <a:ea typeface="+mn-ea"/>
              <a:cs typeface="Times New Roman" panose="02020603050405020304" pitchFamily="18" charset="0"/>
            </a:rPr>
            <a:t>As for recommendations, we would suggest that scenario 3 is an option that is doing well in regards to profitability and return on investment. The other 2 scenarios projections could be improved since the NPV and IRR is not as desired. For improvement in these aspects the other scenarios would have to improve their returns by financing materials with cheaper costs , try to negotiate for a longer credit with suppliers or look for other suppliers, implementing a shorter credit period with customers could also help.  The more the profit is improved the higher percentages of growth we will get. Aside from this , cutting costs and an additional investment in other areas such as marketing could help all the scenarios do even better.  The scenarios seem to have their pros and cons to each variable analyzed, however it would be beneficial to analyze them in regards to the NPV and IRR were scenario number three would be the best optin, followed by scenario number two and finally scenario number one. </a:t>
          </a:r>
        </a:p>
      </xdr:txBody>
    </xdr:sp>
    <xdr:clientData/>
  </xdr:twoCellAnchor>
  <xdr:twoCellAnchor>
    <xdr:from>
      <xdr:col>9</xdr:col>
      <xdr:colOff>304800</xdr:colOff>
      <xdr:row>3</xdr:row>
      <xdr:rowOff>50800</xdr:rowOff>
    </xdr:from>
    <xdr:to>
      <xdr:col>15</xdr:col>
      <xdr:colOff>177800</xdr:colOff>
      <xdr:row>21</xdr:row>
      <xdr:rowOff>63500</xdr:rowOff>
    </xdr:to>
    <xdr:graphicFrame macro="">
      <xdr:nvGraphicFramePr>
        <xdr:cNvPr id="3" name="Chart 2">
          <a:extLst>
            <a:ext uri="{FF2B5EF4-FFF2-40B4-BE49-F238E27FC236}">
              <a16:creationId xmlns:a16="http://schemas.microsoft.com/office/drawing/2014/main" id="{CC7FDEF2-02E6-C74F-8E98-5FC4E4770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245919</xdr:colOff>
      <xdr:row>21</xdr:row>
      <xdr:rowOff>126423</xdr:rowOff>
    </xdr:from>
    <xdr:to>
      <xdr:col>15</xdr:col>
      <xdr:colOff>209178</xdr:colOff>
      <xdr:row>39</xdr:row>
      <xdr:rowOff>43295</xdr:rowOff>
    </xdr:to>
    <xdr:graphicFrame macro="">
      <xdr:nvGraphicFramePr>
        <xdr:cNvPr id="4" name="Chart 3">
          <a:extLst>
            <a:ext uri="{FF2B5EF4-FFF2-40B4-BE49-F238E27FC236}">
              <a16:creationId xmlns:a16="http://schemas.microsoft.com/office/drawing/2014/main" id="{EBC90470-E9ED-4041-B436-39739F0BB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355600</xdr:colOff>
      <xdr:row>3</xdr:row>
      <xdr:rowOff>38100</xdr:rowOff>
    </xdr:from>
    <xdr:to>
      <xdr:col>21</xdr:col>
      <xdr:colOff>520700</xdr:colOff>
      <xdr:row>21</xdr:row>
      <xdr:rowOff>31750</xdr:rowOff>
    </xdr:to>
    <xdr:graphicFrame macro="">
      <xdr:nvGraphicFramePr>
        <xdr:cNvPr id="5" name="Chart 4">
          <a:extLst>
            <a:ext uri="{FF2B5EF4-FFF2-40B4-BE49-F238E27FC236}">
              <a16:creationId xmlns:a16="http://schemas.microsoft.com/office/drawing/2014/main" id="{145A92A1-E444-E146-A99D-27140E3F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375226</xdr:colOff>
      <xdr:row>21</xdr:row>
      <xdr:rowOff>86591</xdr:rowOff>
    </xdr:from>
    <xdr:to>
      <xdr:col>21</xdr:col>
      <xdr:colOff>612588</xdr:colOff>
      <xdr:row>39</xdr:row>
      <xdr:rowOff>28863</xdr:rowOff>
    </xdr:to>
    <xdr:graphicFrame macro="">
      <xdr:nvGraphicFramePr>
        <xdr:cNvPr id="6" name="Chart 5">
          <a:extLst>
            <a:ext uri="{FF2B5EF4-FFF2-40B4-BE49-F238E27FC236}">
              <a16:creationId xmlns:a16="http://schemas.microsoft.com/office/drawing/2014/main" id="{878E529B-19C0-470B-B1AE-52FD1C34B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230331</xdr:colOff>
      <xdr:row>39</xdr:row>
      <xdr:rowOff>91784</xdr:rowOff>
    </xdr:from>
    <xdr:to>
      <xdr:col>15</xdr:col>
      <xdr:colOff>268941</xdr:colOff>
      <xdr:row>62</xdr:row>
      <xdr:rowOff>38100</xdr:rowOff>
    </xdr:to>
    <xdr:graphicFrame macro="">
      <xdr:nvGraphicFramePr>
        <xdr:cNvPr id="7" name="Chart 6">
          <a:extLst>
            <a:ext uri="{FF2B5EF4-FFF2-40B4-BE49-F238E27FC236}">
              <a16:creationId xmlns:a16="http://schemas.microsoft.com/office/drawing/2014/main" id="{E09565A5-6F43-41F8-8BB4-3BB13889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373529</xdr:colOff>
      <xdr:row>39</xdr:row>
      <xdr:rowOff>89648</xdr:rowOff>
    </xdr:from>
    <xdr:to>
      <xdr:col>21</xdr:col>
      <xdr:colOff>627529</xdr:colOff>
      <xdr:row>61</xdr:row>
      <xdr:rowOff>164353</xdr:rowOff>
    </xdr:to>
    <xdr:graphicFrame macro="">
      <xdr:nvGraphicFramePr>
        <xdr:cNvPr id="8" name="Chart 7">
          <a:extLst>
            <a:ext uri="{FF2B5EF4-FFF2-40B4-BE49-F238E27FC236}">
              <a16:creationId xmlns:a16="http://schemas.microsoft.com/office/drawing/2014/main" id="{59D137EC-46FB-664F-8308-88C26E240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1</xdr:row>
      <xdr:rowOff>114300</xdr:rowOff>
    </xdr:from>
    <xdr:to>
      <xdr:col>9</xdr:col>
      <xdr:colOff>66675</xdr:colOff>
      <xdr:row>28</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7200" y="314325"/>
          <a:ext cx="5781675"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a:solidFill>
                <a:schemeClr val="dk1"/>
              </a:solidFill>
              <a:effectLst/>
              <a:latin typeface="+mn-lt"/>
              <a:ea typeface="+mn-ea"/>
              <a:cs typeface="+mn-cs"/>
            </a:rPr>
            <a:t>Copyright Michael Nugent ©</a:t>
          </a:r>
          <a:r>
            <a:rPr lang="en-US" sz="1200" baseline="0">
              <a:solidFill>
                <a:schemeClr val="dk1"/>
              </a:solidFill>
              <a:effectLst/>
              <a:latin typeface="+mn-lt"/>
              <a:ea typeface="+mn-ea"/>
              <a:cs typeface="+mn-cs"/>
            </a:rPr>
            <a:t> </a:t>
          </a:r>
          <a:endParaRPr lang="en-US" sz="1200">
            <a:effectLst/>
          </a:endParaRPr>
        </a:p>
        <a:p>
          <a:r>
            <a:rPr lang="en-US" sz="1200" b="1">
              <a:solidFill>
                <a:schemeClr val="dk1"/>
              </a:solidFill>
              <a:effectLst/>
              <a:latin typeface="+mn-lt"/>
              <a:ea typeface="+mn-ea"/>
              <a:cs typeface="+mn-cs"/>
            </a:rPr>
            <a:t>MEMO </a:t>
          </a:r>
          <a:endParaRPr lang="en-US" sz="1200">
            <a:effectLst/>
          </a:endParaRPr>
        </a:p>
        <a:p>
          <a:r>
            <a:rPr lang="en-US" sz="1200" b="1">
              <a:solidFill>
                <a:schemeClr val="dk1"/>
              </a:solidFill>
              <a:effectLst/>
              <a:latin typeface="+mn-lt"/>
              <a:ea typeface="+mn-ea"/>
              <a:cs typeface="+mn-cs"/>
            </a:rPr>
            <a:t>To: Financial Analyst Employee</a:t>
          </a:r>
          <a:endParaRPr lang="en-US" sz="1200">
            <a:effectLst/>
          </a:endParaRPr>
        </a:p>
        <a:p>
          <a:r>
            <a:rPr lang="en-US" sz="1200" b="1">
              <a:solidFill>
                <a:schemeClr val="dk1"/>
              </a:solidFill>
              <a:effectLst/>
              <a:latin typeface="+mn-lt"/>
              <a:ea typeface="+mn-ea"/>
              <a:cs typeface="+mn-cs"/>
            </a:rPr>
            <a:t>From: CFO</a:t>
          </a:r>
          <a:endParaRPr lang="en-US" sz="1200">
            <a:effectLst/>
          </a:endParaRPr>
        </a:p>
        <a:p>
          <a:r>
            <a:rPr lang="en-US" sz="1200" b="1">
              <a:solidFill>
                <a:schemeClr val="dk1"/>
              </a:solidFill>
              <a:effectLst/>
              <a:latin typeface="+mn-lt"/>
              <a:ea typeface="+mn-ea"/>
              <a:cs typeface="+mn-cs"/>
            </a:rPr>
            <a:t>Subject: Financial Model </a:t>
          </a:r>
        </a:p>
        <a:p>
          <a:endParaRPr lang="en-US" sz="1200" b="1">
            <a:solidFill>
              <a:schemeClr val="dk1"/>
            </a:solidFill>
            <a:effectLst/>
            <a:latin typeface="+mn-lt"/>
            <a:ea typeface="+mn-ea"/>
            <a:cs typeface="+mn-cs"/>
          </a:endParaRPr>
        </a:p>
        <a:p>
          <a:endParaRPr lang="en-US" sz="1200" b="1">
            <a:solidFill>
              <a:schemeClr val="dk1"/>
            </a:solidFill>
            <a:effectLst/>
            <a:latin typeface="+mn-lt"/>
            <a:ea typeface="+mn-ea"/>
            <a:cs typeface="+mn-cs"/>
          </a:endParaRPr>
        </a:p>
        <a:p>
          <a:r>
            <a:rPr lang="en-US" sz="1200" b="1">
              <a:solidFill>
                <a:schemeClr val="dk1"/>
              </a:solidFill>
              <a:effectLst/>
              <a:latin typeface="+mn-lt"/>
              <a:ea typeface="+mn-ea"/>
              <a:cs typeface="+mn-cs"/>
            </a:rPr>
            <a:t>1) Follow the instructions to complete the financial modeling worksheet "FMSA"</a:t>
          </a:r>
        </a:p>
        <a:p>
          <a:endParaRPr lang="en-US" sz="1200" b="1">
            <a:solidFill>
              <a:schemeClr val="dk1"/>
            </a:solidFill>
            <a:effectLst/>
            <a:latin typeface="+mn-lt"/>
            <a:ea typeface="+mn-ea"/>
            <a:cs typeface="+mn-cs"/>
          </a:endParaRPr>
        </a:p>
        <a:p>
          <a:r>
            <a:rPr lang="en-US" sz="1200" b="1"/>
            <a:t>Use if statements and data validation to calculate three scenarios for this financial model. </a:t>
          </a:r>
        </a:p>
        <a:p>
          <a:endParaRPr lang="en-US" sz="1200" b="1"/>
        </a:p>
        <a:p>
          <a:r>
            <a:rPr lang="en-US" sz="1200" b="1"/>
            <a:t>The</a:t>
          </a:r>
          <a:r>
            <a:rPr lang="en-US" sz="1200" b="1" baseline="0"/>
            <a:t> goal is to use if statements to connect to t</a:t>
          </a:r>
          <a:r>
            <a:rPr lang="en-US" sz="1200" b="1"/>
            <a:t>he Scenario box.</a:t>
          </a:r>
          <a:r>
            <a:rPr lang="en-US" sz="1200" b="1" baseline="0"/>
            <a:t> </a:t>
          </a:r>
          <a:r>
            <a:rPr lang="en-US" sz="1200" b="1"/>
            <a:t> When</a:t>
          </a:r>
          <a:r>
            <a:rPr lang="en-US" sz="1200" b="1" baseline="0"/>
            <a:t> </a:t>
          </a:r>
          <a:r>
            <a:rPr lang="en-US" sz="1200" b="1"/>
            <a:t>cell L15</a:t>
          </a:r>
          <a:r>
            <a:rPr lang="en-US" sz="1200" b="1" baseline="0"/>
            <a:t> is changed between 1,2,3 this will trigger the if statements to automatically update the financial model.  Use Data Validation in cell L15 to create a list pull down for (1,2,3).</a:t>
          </a:r>
        </a:p>
        <a:p>
          <a:endParaRPr lang="en-US" sz="1200" b="1"/>
        </a:p>
        <a:p>
          <a:r>
            <a:rPr lang="en-US" sz="1200" b="1"/>
            <a:t>Use</a:t>
          </a:r>
          <a:r>
            <a:rPr lang="en-US" sz="1200" b="1" baseline="0"/>
            <a:t> the scenario information  to create if statements for rows 48-51 highlighted in </a:t>
          </a:r>
          <a:r>
            <a:rPr lang="en-US" sz="1200" b="1" baseline="0">
              <a:solidFill>
                <a:schemeClr val="tx1"/>
              </a:solidFill>
            </a:rPr>
            <a:t>yellow. </a:t>
          </a:r>
          <a:endParaRPr lang="en-US" sz="1200" b="1" baseline="0">
            <a:solidFill>
              <a:srgbClr val="FFFF00"/>
            </a:solidFill>
          </a:endParaRPr>
        </a:p>
        <a:p>
          <a:endParaRPr lang="en-US" sz="1200" b="1" baseline="0"/>
        </a:p>
        <a:p>
          <a:r>
            <a:rPr lang="en-US" sz="1200" b="1" baseline="0"/>
            <a:t>Calculate NPV and IRR based on Leveraged free cash flow (row 101), see comment in cell K17.</a:t>
          </a:r>
        </a:p>
        <a:p>
          <a:endParaRPr lang="en-US" sz="1200" b="1">
            <a:solidFill>
              <a:schemeClr val="dk1"/>
            </a:solidFill>
            <a:effectLst/>
            <a:latin typeface="+mn-lt"/>
            <a:ea typeface="+mn-ea"/>
            <a:cs typeface="+mn-cs"/>
          </a:endParaRPr>
        </a:p>
        <a:p>
          <a:r>
            <a:rPr lang="en-US" sz="1200" b="1">
              <a:solidFill>
                <a:schemeClr val="dk1"/>
              </a:solidFill>
              <a:effectLst/>
              <a:latin typeface="+mn-lt"/>
              <a:ea typeface="+mn-ea"/>
              <a:cs typeface="+mn-cs"/>
            </a:rPr>
            <a:t>2)</a:t>
          </a:r>
          <a:r>
            <a:rPr lang="en-US" sz="1200" b="1" baseline="0">
              <a:solidFill>
                <a:schemeClr val="dk1"/>
              </a:solidFill>
              <a:effectLst/>
              <a:latin typeface="+mn-lt"/>
              <a:ea typeface="+mn-ea"/>
              <a:cs typeface="+mn-cs"/>
            </a:rPr>
            <a:t> Create an executive summary  to analyze each of the scenarios 1,2,3 </a:t>
          </a:r>
        </a:p>
        <a:p>
          <a:endParaRPr lang="en-US" sz="1200" b="1" baseline="0">
            <a:solidFill>
              <a:schemeClr val="dk1"/>
            </a:solidFill>
            <a:effectLst/>
            <a:latin typeface="+mn-lt"/>
            <a:ea typeface="+mn-ea"/>
            <a:cs typeface="+mn-cs"/>
          </a:endParaRPr>
        </a:p>
        <a:p>
          <a:r>
            <a:rPr lang="en-US" sz="1200" b="1" baseline="0">
              <a:solidFill>
                <a:schemeClr val="dk1"/>
              </a:solidFill>
              <a:effectLst/>
              <a:latin typeface="+mn-lt"/>
              <a:ea typeface="+mn-ea"/>
              <a:cs typeface="+mn-cs"/>
            </a:rPr>
            <a:t>3) Make sure you create charts or graphs and place them in the executive summary. </a:t>
          </a:r>
        </a:p>
        <a:p>
          <a:endParaRPr lang="en-US" sz="1100" b="1" baseline="0">
            <a:solidFill>
              <a:schemeClr val="dk1"/>
            </a:solidFill>
            <a:effectLst/>
            <a:latin typeface="+mn-lt"/>
            <a:ea typeface="+mn-ea"/>
            <a:cs typeface="+mn-cs"/>
          </a:endParaRPr>
        </a:p>
        <a:p>
          <a:endParaRPr lang="en-US" sz="1100" b="1" baseline="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152400</xdr:colOff>
      <xdr:row>4</xdr:row>
      <xdr:rowOff>88900</xdr:rowOff>
    </xdr:from>
    <xdr:to>
      <xdr:col>22</xdr:col>
      <xdr:colOff>419100</xdr:colOff>
      <xdr:row>22</xdr:row>
      <xdr:rowOff>165100</xdr:rowOff>
    </xdr:to>
    <xdr:sp macro="" textlink="">
      <xdr:nvSpPr>
        <xdr:cNvPr id="2" name="TextBox 1">
          <a:extLst>
            <a:ext uri="{FF2B5EF4-FFF2-40B4-BE49-F238E27FC236}">
              <a16:creationId xmlns:a16="http://schemas.microsoft.com/office/drawing/2014/main" id="{E826F42B-AAE3-0745-94AD-9EA328991178}"/>
            </a:ext>
          </a:extLst>
        </xdr:cNvPr>
        <xdr:cNvSpPr txBox="1"/>
      </xdr:nvSpPr>
      <xdr:spPr>
        <a:xfrm>
          <a:off x="11074400" y="901700"/>
          <a:ext cx="7696200" cy="38481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Use if statements to create three scenarios for this financial model. </a:t>
          </a:r>
        </a:p>
        <a:p>
          <a:endParaRPr lang="en-US" sz="2000"/>
        </a:p>
        <a:p>
          <a:r>
            <a:rPr lang="en-US" sz="2000"/>
            <a:t>The</a:t>
          </a:r>
          <a:r>
            <a:rPr lang="en-US" sz="2000" baseline="0"/>
            <a:t> goal is to use if statements to connect to t</a:t>
          </a:r>
          <a:r>
            <a:rPr lang="en-US" sz="2000"/>
            <a:t>he Scenario box.</a:t>
          </a:r>
          <a:r>
            <a:rPr lang="en-US" sz="2000" baseline="0"/>
            <a:t> </a:t>
          </a:r>
          <a:r>
            <a:rPr lang="en-US" sz="2000"/>
            <a:t> When</a:t>
          </a:r>
          <a:r>
            <a:rPr lang="en-US" sz="2000" baseline="0"/>
            <a:t> </a:t>
          </a:r>
          <a:r>
            <a:rPr lang="en-US" sz="2000"/>
            <a:t>cell L15</a:t>
          </a:r>
          <a:r>
            <a:rPr lang="en-US" sz="2000" baseline="0"/>
            <a:t> is changed between 1,2,3 this will trigger the if statements to automatically update the financial model.  Use Data Validation </a:t>
          </a:r>
        </a:p>
        <a:p>
          <a:endParaRPr lang="en-US" sz="2000"/>
        </a:p>
        <a:p>
          <a:r>
            <a:rPr lang="en-US" sz="2000"/>
            <a:t>Use</a:t>
          </a:r>
          <a:r>
            <a:rPr lang="en-US" sz="2000" baseline="0"/>
            <a:t> the scenario information below to create if statements for rows 48-51 highlighted in </a:t>
          </a:r>
          <a:r>
            <a:rPr lang="en-US" sz="2000" baseline="0">
              <a:solidFill>
                <a:schemeClr val="tx1"/>
              </a:solidFill>
            </a:rPr>
            <a:t>yellow. </a:t>
          </a:r>
          <a:endParaRPr lang="en-US" sz="2000" baseline="0">
            <a:solidFill>
              <a:srgbClr val="FFFF00"/>
            </a:solidFill>
          </a:endParaRPr>
        </a:p>
        <a:p>
          <a:endParaRPr lang="en-US" sz="2000" baseline="0"/>
        </a:p>
        <a:p>
          <a:r>
            <a:rPr lang="en-US" sz="2000" baseline="0"/>
            <a:t>Calculate NPV and IRR based on Leveraged free cash flow (row 101), see comment in cell K17.</a:t>
          </a:r>
        </a:p>
        <a:p>
          <a:r>
            <a:rPr lang="en-US" sz="2000" baseline="0"/>
            <a:t>Please create an Executive Summary</a:t>
          </a:r>
        </a:p>
      </xdr:txBody>
    </xdr:sp>
    <xdr:clientData/>
  </xdr:twoCellAnchor>
  <xdr:twoCellAnchor>
    <xdr:from>
      <xdr:col>12</xdr:col>
      <xdr:colOff>304800</xdr:colOff>
      <xdr:row>15</xdr:row>
      <xdr:rowOff>101600</xdr:rowOff>
    </xdr:from>
    <xdr:to>
      <xdr:col>15</xdr:col>
      <xdr:colOff>0</xdr:colOff>
      <xdr:row>45</xdr:row>
      <xdr:rowOff>165100</xdr:rowOff>
    </xdr:to>
    <xdr:cxnSp macro="">
      <xdr:nvCxnSpPr>
        <xdr:cNvPr id="3" name="Straight Arrow Connector 2">
          <a:extLst>
            <a:ext uri="{FF2B5EF4-FFF2-40B4-BE49-F238E27FC236}">
              <a16:creationId xmlns:a16="http://schemas.microsoft.com/office/drawing/2014/main" id="{169279C0-182D-8D4A-9D2D-3706FE9D2A45}"/>
            </a:ext>
          </a:extLst>
        </xdr:cNvPr>
        <xdr:cNvCxnSpPr/>
      </xdr:nvCxnSpPr>
      <xdr:spPr>
        <a:xfrm flipH="1">
          <a:off x="14757400" y="3441700"/>
          <a:ext cx="3035300" cy="6273800"/>
        </a:xfrm>
        <a:prstGeom prst="straightConnector1">
          <a:avLst/>
        </a:prstGeom>
        <a:ln w="825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xdr:colOff>
      <xdr:row>8</xdr:row>
      <xdr:rowOff>25400</xdr:rowOff>
    </xdr:from>
    <xdr:to>
      <xdr:col>14</xdr:col>
      <xdr:colOff>241300</xdr:colOff>
      <xdr:row>13</xdr:row>
      <xdr:rowOff>127000</xdr:rowOff>
    </xdr:to>
    <xdr:cxnSp macro="">
      <xdr:nvCxnSpPr>
        <xdr:cNvPr id="4" name="Straight Arrow Connector 3">
          <a:extLst>
            <a:ext uri="{FF2B5EF4-FFF2-40B4-BE49-F238E27FC236}">
              <a16:creationId xmlns:a16="http://schemas.microsoft.com/office/drawing/2014/main" id="{0AC6624C-C213-2D4B-A1A9-FB2F89495980}"/>
            </a:ext>
          </a:extLst>
        </xdr:cNvPr>
        <xdr:cNvCxnSpPr/>
      </xdr:nvCxnSpPr>
      <xdr:spPr>
        <a:xfrm flipH="1">
          <a:off x="9283700" y="1651000"/>
          <a:ext cx="1879600" cy="1130300"/>
        </a:xfrm>
        <a:prstGeom prst="straightConnector1">
          <a:avLst/>
        </a:prstGeom>
        <a:ln w="825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165100</xdr:colOff>
      <xdr:row>15</xdr:row>
      <xdr:rowOff>25400</xdr:rowOff>
    </xdr:from>
    <xdr:to>
      <xdr:col>17</xdr:col>
      <xdr:colOff>279400</xdr:colOff>
      <xdr:row>23</xdr:row>
      <xdr:rowOff>114300</xdr:rowOff>
    </xdr:to>
    <xdr:cxnSp macro="">
      <xdr:nvCxnSpPr>
        <xdr:cNvPr id="5" name="Straight Arrow Connector 4">
          <a:extLst>
            <a:ext uri="{FF2B5EF4-FFF2-40B4-BE49-F238E27FC236}">
              <a16:creationId xmlns:a16="http://schemas.microsoft.com/office/drawing/2014/main" id="{C9E36384-3EC7-0F4F-AAB3-0679699B5C8A}"/>
            </a:ext>
          </a:extLst>
        </xdr:cNvPr>
        <xdr:cNvCxnSpPr/>
      </xdr:nvCxnSpPr>
      <xdr:spPr>
        <a:xfrm flipH="1">
          <a:off x="14389100" y="3162300"/>
          <a:ext cx="114300" cy="1739900"/>
        </a:xfrm>
        <a:prstGeom prst="straightConnector1">
          <a:avLst/>
        </a:prstGeom>
        <a:ln w="635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660400</xdr:colOff>
      <xdr:row>16</xdr:row>
      <xdr:rowOff>50800</xdr:rowOff>
    </xdr:from>
    <xdr:to>
      <xdr:col>14</xdr:col>
      <xdr:colOff>101600</xdr:colOff>
      <xdr:row>18</xdr:row>
      <xdr:rowOff>177800</xdr:rowOff>
    </xdr:to>
    <xdr:cxnSp macro="">
      <xdr:nvCxnSpPr>
        <xdr:cNvPr id="6" name="Straight Arrow Connector 5">
          <a:extLst>
            <a:ext uri="{FF2B5EF4-FFF2-40B4-BE49-F238E27FC236}">
              <a16:creationId xmlns:a16="http://schemas.microsoft.com/office/drawing/2014/main" id="{0CA0E5EC-53C8-FE46-9E78-958164C99470}"/>
            </a:ext>
          </a:extLst>
        </xdr:cNvPr>
        <xdr:cNvCxnSpPr/>
      </xdr:nvCxnSpPr>
      <xdr:spPr>
        <a:xfrm flipH="1" flipV="1">
          <a:off x="9906000" y="3403600"/>
          <a:ext cx="1117600" cy="546100"/>
        </a:xfrm>
        <a:prstGeom prst="straightConnector1">
          <a:avLst/>
        </a:prstGeom>
        <a:ln w="635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516465</xdr:colOff>
      <xdr:row>0</xdr:row>
      <xdr:rowOff>16932</xdr:rowOff>
    </xdr:from>
    <xdr:to>
      <xdr:col>6</xdr:col>
      <xdr:colOff>465665</xdr:colOff>
      <xdr:row>10</xdr:row>
      <xdr:rowOff>25399</xdr:rowOff>
    </xdr:to>
    <xdr:graphicFrame macro="">
      <xdr:nvGraphicFramePr>
        <xdr:cNvPr id="6" name="Chart 5">
          <a:extLst>
            <a:ext uri="{FF2B5EF4-FFF2-40B4-BE49-F238E27FC236}">
              <a16:creationId xmlns:a16="http://schemas.microsoft.com/office/drawing/2014/main" id="{EF6E1822-F6FD-B844-88D2-DF8A240E0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0</xdr:row>
      <xdr:rowOff>0</xdr:rowOff>
    </xdr:from>
    <xdr:to>
      <xdr:col>9</xdr:col>
      <xdr:colOff>800100</xdr:colOff>
      <xdr:row>16</xdr:row>
      <xdr:rowOff>95250</xdr:rowOff>
    </xdr:to>
    <xdr:graphicFrame macro="">
      <xdr:nvGraphicFramePr>
        <xdr:cNvPr id="2" name="Chart 1">
          <a:extLst>
            <a:ext uri="{FF2B5EF4-FFF2-40B4-BE49-F238E27FC236}">
              <a16:creationId xmlns:a16="http://schemas.microsoft.com/office/drawing/2014/main" id="{43675A01-4182-5544-9CE2-5B4284B65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241300</xdr:colOff>
      <xdr:row>17</xdr:row>
      <xdr:rowOff>196850</xdr:rowOff>
    </xdr:to>
    <xdr:graphicFrame macro="">
      <xdr:nvGraphicFramePr>
        <xdr:cNvPr id="3" name="Chart 2">
          <a:extLst>
            <a:ext uri="{FF2B5EF4-FFF2-40B4-BE49-F238E27FC236}">
              <a16:creationId xmlns:a16="http://schemas.microsoft.com/office/drawing/2014/main" id="{017BFE47-4670-304E-B1FE-51CFEECCC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381000</xdr:colOff>
      <xdr:row>7</xdr:row>
      <xdr:rowOff>90487</xdr:rowOff>
    </xdr:from>
    <xdr:to>
      <xdr:col>13</xdr:col>
      <xdr:colOff>57150</xdr:colOff>
      <xdr:row>21</xdr:row>
      <xdr:rowOff>33337</xdr:rowOff>
    </xdr:to>
    <xdr:graphicFrame macro="">
      <xdr:nvGraphicFramePr>
        <xdr:cNvPr id="2" name="Chart 1">
          <a:extLst>
            <a:ext uri="{FF2B5EF4-FFF2-40B4-BE49-F238E27FC236}">
              <a16:creationId xmlns:a16="http://schemas.microsoft.com/office/drawing/2014/main" id="{C83CDD04-8B5E-4BA3-A134-BBD602E89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381000</xdr:colOff>
      <xdr:row>7</xdr:row>
      <xdr:rowOff>90487</xdr:rowOff>
    </xdr:from>
    <xdr:to>
      <xdr:col>13</xdr:col>
      <xdr:colOff>57150</xdr:colOff>
      <xdr:row>21</xdr:row>
      <xdr:rowOff>33337</xdr:rowOff>
    </xdr:to>
    <xdr:graphicFrame macro="">
      <xdr:nvGraphicFramePr>
        <xdr:cNvPr id="2" name="Chart 1">
          <a:extLst>
            <a:ext uri="{FF2B5EF4-FFF2-40B4-BE49-F238E27FC236}">
              <a16:creationId xmlns:a16="http://schemas.microsoft.com/office/drawing/2014/main" id="{80E207F8-54EF-416F-A03A-881E3806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381000</xdr:colOff>
      <xdr:row>7</xdr:row>
      <xdr:rowOff>90487</xdr:rowOff>
    </xdr:from>
    <xdr:to>
      <xdr:col>13</xdr:col>
      <xdr:colOff>57150</xdr:colOff>
      <xdr:row>21</xdr:row>
      <xdr:rowOff>33337</xdr:rowOff>
    </xdr:to>
    <xdr:graphicFrame macro="">
      <xdr:nvGraphicFramePr>
        <xdr:cNvPr id="2" name="Chart 1">
          <a:extLst>
            <a:ext uri="{FF2B5EF4-FFF2-40B4-BE49-F238E27FC236}">
              <a16:creationId xmlns:a16="http://schemas.microsoft.com/office/drawing/2014/main" id="{23E22E82-06FE-1E4A-B3D9-7C14A10B1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B6997E-A51E-9947-8CFB-32507DD821EB}" name="Table4" displayName="Table4" ref="A1:B4" totalsRowShown="0">
  <autoFilter ref="A1:B4" xr:uid="{7BB6997E-A51E-9947-8CFB-32507DD821EB}"/>
  <tableColumns count="2">
    <tableColumn id="1" xr3:uid="{601115BE-656D-6243-BFA0-577892C472CB}" name="Scenario "/>
    <tableColumn id="2" xr3:uid="{F18B1360-A126-AA4A-9B2B-64DC057FAF53}" name="NPV"/>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E0BBF8-3A26-DA44-B338-B2EE7897F01D}" name="Table1" displayName="Table1" ref="A1:B4" totalsRowShown="0">
  <autoFilter ref="A1:B4" xr:uid="{8AE0BBF8-3A26-DA44-B338-B2EE7897F01D}"/>
  <tableColumns count="2">
    <tableColumn id="1" xr3:uid="{FAB5F030-3A0A-C541-83C4-258D97336D25}" name="Scenario "/>
    <tableColumn id="2" xr3:uid="{B72DEEEF-5EA3-434B-A4A9-5688F5D28C24}" name="IRR"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868518-FF5F-844D-8BB0-0B98D2EB2ACB}" name="Table3" displayName="Table3" ref="A1:B4" totalsRowShown="0">
  <autoFilter ref="A1:B4" xr:uid="{8A868518-FF5F-844D-8BB0-0B98D2EB2ACB}"/>
  <tableColumns count="2">
    <tableColumn id="1" xr3:uid="{F135C838-B5A7-D94E-9911-C8ADF4EAA4FB}" name="Scenario"/>
    <tableColumn id="2" xr3:uid="{653383D7-5978-5E4E-BE3B-DEA6A5BB50A6}" name="Net income "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7A6A3B-8E92-4F23-9A80-8B8EF5ED3BD4}" name="Table2" displayName="Table2" ref="B1:D6" totalsRowShown="0">
  <autoFilter ref="B1:D6" xr:uid="{807A6A3B-8E92-4F23-9A80-8B8EF5ED3BD4}"/>
  <tableColumns count="3">
    <tableColumn id="1" xr3:uid="{81A131E0-7ADA-4842-A3E1-82CC743019E7}" name="Scenario 1"/>
    <tableColumn id="2" xr3:uid="{06E1D21B-764B-4AA3-91AB-70825D95BE82}" name="Scenario 2"/>
    <tableColumn id="3" xr3:uid="{D44D7013-A206-4F45-BD10-99CF0D9729FC}" name="Scenario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2A56D7-5C3B-4599-895D-EDB3543730C8}" name="Table26" displayName="Table26" ref="B1:D6" totalsRowShown="0" dataDxfId="7">
  <autoFilter ref="B1:D6" xr:uid="{807A6A3B-8E92-4F23-9A80-8B8EF5ED3BD4}"/>
  <tableColumns count="3">
    <tableColumn id="1" xr3:uid="{AB0D21A9-0349-4D0B-9D20-551B4FA67E1B}" name="Scenario 1" dataDxfId="6"/>
    <tableColumn id="2" xr3:uid="{9AAD52D0-DDB2-4A61-96CF-8A65FA3447FF}" name="Scenario 2" dataDxfId="5"/>
    <tableColumn id="3" xr3:uid="{15D69C62-1A6F-44CE-9B92-7A8040682013}" name="Scenario 3"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16F1F8-31AA-AB43-AEC5-3B60392D1267}" name="Table2610" displayName="Table2610" ref="B1:D6" totalsRowShown="0" dataDxfId="3">
  <autoFilter ref="B1:D6" xr:uid="{807A6A3B-8E92-4F23-9A80-8B8EF5ED3BD4}"/>
  <tableColumns count="3">
    <tableColumn id="1" xr3:uid="{51C2E143-5341-3B40-8C60-67382660602E}" name="Scenario 1" dataDxfId="2"/>
    <tableColumn id="2" xr3:uid="{4AD63625-57F8-9449-9383-757E74020ABA}" name="Scenario 2" dataDxfId="1"/>
    <tableColumn id="3" xr3:uid="{61E8DA47-3965-0A4E-A62B-BCBCBF4E675C}" name="Scenario 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7C4D9-B9AC-4540-9A0B-4DF18B5782DF}">
  <sheetPr>
    <tabColor rgb="FFFFC000"/>
  </sheetPr>
  <dimension ref="A2:V67"/>
  <sheetViews>
    <sheetView showGridLines="0" tabSelected="1" topLeftCell="A18" zoomScale="69" zoomScaleNormal="70" workbookViewId="0">
      <selection activeCell="H55" sqref="H55"/>
    </sheetView>
  </sheetViews>
  <sheetFormatPr defaultColWidth="11" defaultRowHeight="15.6"/>
  <cols>
    <col min="1" max="16384" width="11" style="178"/>
  </cols>
  <sheetData>
    <row r="2" spans="1:22" ht="22.8">
      <c r="D2" s="182" t="s">
        <v>0</v>
      </c>
      <c r="P2" s="182" t="s">
        <v>1</v>
      </c>
    </row>
    <row r="3" spans="1:22">
      <c r="A3" s="181"/>
      <c r="B3" s="181"/>
      <c r="C3" s="181"/>
      <c r="D3" s="181"/>
      <c r="E3" s="181"/>
      <c r="F3" s="181"/>
      <c r="G3" s="181"/>
      <c r="H3" s="181"/>
      <c r="J3" s="181"/>
      <c r="K3" s="181"/>
      <c r="L3" s="181"/>
      <c r="M3" s="181"/>
      <c r="N3" s="181"/>
      <c r="O3" s="181"/>
      <c r="P3" s="181"/>
      <c r="Q3" s="181"/>
      <c r="R3" s="181"/>
      <c r="S3" s="181"/>
      <c r="T3" s="181"/>
      <c r="U3" s="181"/>
      <c r="V3" s="181"/>
    </row>
    <row r="4" spans="1:22">
      <c r="A4" s="181"/>
      <c r="B4" s="181"/>
      <c r="C4" s="181"/>
      <c r="D4" s="181"/>
      <c r="E4" s="181"/>
      <c r="F4" s="181"/>
      <c r="G4" s="181"/>
      <c r="H4" s="181"/>
      <c r="J4" s="181"/>
      <c r="K4" s="181"/>
      <c r="L4" s="181"/>
      <c r="M4" s="181"/>
      <c r="N4" s="181"/>
      <c r="O4" s="181"/>
      <c r="P4" s="181"/>
      <c r="Q4" s="181"/>
      <c r="R4" s="181"/>
      <c r="S4" s="181"/>
      <c r="T4" s="181"/>
      <c r="U4" s="181"/>
      <c r="V4" s="181"/>
    </row>
    <row r="5" spans="1:22">
      <c r="A5" s="181"/>
      <c r="B5" s="181"/>
      <c r="C5" s="181"/>
      <c r="D5" s="181"/>
      <c r="E5" s="181"/>
      <c r="F5" s="181"/>
      <c r="G5" s="181"/>
      <c r="H5" s="181"/>
      <c r="J5" s="181"/>
      <c r="K5" s="181"/>
      <c r="L5" s="181"/>
      <c r="M5" s="181"/>
      <c r="N5" s="181"/>
      <c r="O5" s="181"/>
      <c r="P5" s="181"/>
      <c r="Q5" s="181"/>
      <c r="R5" s="181"/>
      <c r="S5" s="181"/>
      <c r="T5" s="181"/>
      <c r="U5" s="181"/>
      <c r="V5" s="181"/>
    </row>
    <row r="6" spans="1:22">
      <c r="A6" s="181"/>
      <c r="B6" s="181"/>
      <c r="C6" s="181"/>
      <c r="D6" s="181"/>
      <c r="E6" s="181"/>
      <c r="F6" s="181"/>
      <c r="G6" s="181"/>
      <c r="H6" s="181"/>
      <c r="J6" s="181"/>
      <c r="K6" s="181"/>
      <c r="L6" s="181"/>
      <c r="M6" s="181"/>
      <c r="N6" s="181"/>
      <c r="O6" s="181"/>
      <c r="P6" s="181"/>
      <c r="Q6" s="181"/>
      <c r="R6" s="181"/>
      <c r="S6" s="181"/>
      <c r="T6" s="181"/>
      <c r="U6" s="181"/>
      <c r="V6" s="181"/>
    </row>
    <row r="7" spans="1:22">
      <c r="A7" s="181"/>
      <c r="B7" s="181"/>
      <c r="C7" s="181"/>
      <c r="D7" s="181"/>
      <c r="E7" s="181"/>
      <c r="F7" s="181"/>
      <c r="G7" s="181"/>
      <c r="H7" s="181"/>
      <c r="J7" s="181"/>
      <c r="K7" s="181"/>
      <c r="L7" s="181"/>
      <c r="M7" s="181"/>
      <c r="N7" s="181"/>
      <c r="O7" s="181"/>
      <c r="P7" s="181"/>
      <c r="Q7" s="181"/>
      <c r="R7" s="181"/>
      <c r="S7" s="181"/>
      <c r="T7" s="181"/>
      <c r="U7" s="181"/>
      <c r="V7" s="181"/>
    </row>
    <row r="8" spans="1:22">
      <c r="A8" s="181"/>
      <c r="B8" s="181"/>
      <c r="C8" s="181"/>
      <c r="D8" s="181"/>
      <c r="E8" s="181"/>
      <c r="F8" s="181"/>
      <c r="G8" s="181"/>
      <c r="H8" s="181"/>
      <c r="J8" s="181"/>
      <c r="K8" s="181"/>
      <c r="L8" s="181"/>
      <c r="M8" s="181"/>
      <c r="N8" s="181"/>
      <c r="O8" s="181"/>
      <c r="P8" s="181"/>
      <c r="Q8" s="181"/>
      <c r="R8" s="181"/>
      <c r="S8" s="181"/>
      <c r="T8" s="181"/>
      <c r="U8" s="181"/>
      <c r="V8" s="181"/>
    </row>
    <row r="9" spans="1:22">
      <c r="A9" s="181"/>
      <c r="B9" s="181"/>
      <c r="C9" s="181"/>
      <c r="D9" s="181"/>
      <c r="E9" s="181"/>
      <c r="F9" s="181"/>
      <c r="G9" s="181"/>
      <c r="H9" s="181"/>
      <c r="J9" s="181"/>
      <c r="K9" s="181"/>
      <c r="L9" s="181"/>
      <c r="M9" s="181"/>
      <c r="N9" s="181"/>
      <c r="O9" s="181"/>
      <c r="P9" s="181"/>
      <c r="Q9" s="181"/>
      <c r="R9" s="181"/>
      <c r="S9" s="181"/>
      <c r="T9" s="181"/>
      <c r="U9" s="181"/>
      <c r="V9" s="181"/>
    </row>
    <row r="10" spans="1:22">
      <c r="A10" s="181"/>
      <c r="B10" s="181"/>
      <c r="C10" s="181"/>
      <c r="D10" s="181"/>
      <c r="E10" s="181"/>
      <c r="F10" s="181"/>
      <c r="G10" s="181"/>
      <c r="H10" s="181"/>
      <c r="J10" s="181"/>
      <c r="K10" s="181"/>
      <c r="L10" s="181"/>
      <c r="M10" s="181"/>
      <c r="N10" s="181"/>
      <c r="O10" s="181"/>
      <c r="P10" s="181"/>
      <c r="Q10" s="181"/>
      <c r="R10" s="181"/>
      <c r="S10" s="181"/>
      <c r="T10" s="181"/>
      <c r="U10" s="181"/>
      <c r="V10" s="181"/>
    </row>
    <row r="11" spans="1:22">
      <c r="A11" s="181"/>
      <c r="B11" s="181"/>
      <c r="C11" s="181"/>
      <c r="D11" s="181"/>
      <c r="E11" s="181"/>
      <c r="F11" s="181"/>
      <c r="G11" s="181"/>
      <c r="H11" s="181"/>
      <c r="J11" s="181"/>
      <c r="K11" s="181"/>
      <c r="L11" s="181"/>
      <c r="M11" s="181"/>
      <c r="N11" s="181"/>
      <c r="O11" s="181"/>
      <c r="P11" s="181"/>
      <c r="Q11" s="181"/>
      <c r="R11" s="181"/>
      <c r="S11" s="181"/>
      <c r="T11" s="181"/>
      <c r="U11" s="181"/>
      <c r="V11" s="181"/>
    </row>
    <row r="12" spans="1:22">
      <c r="A12" s="181"/>
      <c r="B12" s="181"/>
      <c r="C12" s="181"/>
      <c r="D12" s="181"/>
      <c r="E12" s="181"/>
      <c r="F12" s="181"/>
      <c r="G12" s="181"/>
      <c r="H12" s="181"/>
      <c r="J12" s="181"/>
      <c r="K12" s="181"/>
      <c r="L12" s="181"/>
      <c r="M12" s="181"/>
      <c r="N12" s="181"/>
      <c r="O12" s="181"/>
      <c r="P12" s="181"/>
      <c r="Q12" s="181"/>
      <c r="R12" s="181"/>
      <c r="S12" s="181"/>
      <c r="T12" s="181"/>
      <c r="U12" s="181"/>
      <c r="V12" s="181"/>
    </row>
    <row r="13" spans="1:22">
      <c r="A13" s="181"/>
      <c r="B13" s="181"/>
      <c r="C13" s="181"/>
      <c r="D13" s="181"/>
      <c r="E13" s="181"/>
      <c r="F13" s="181"/>
      <c r="G13" s="181"/>
      <c r="H13" s="181"/>
      <c r="J13" s="181"/>
      <c r="K13" s="181"/>
      <c r="L13" s="181"/>
      <c r="M13" s="181"/>
      <c r="N13" s="181"/>
      <c r="O13" s="181"/>
      <c r="P13" s="181"/>
      <c r="Q13" s="181"/>
      <c r="R13" s="181"/>
      <c r="S13" s="181"/>
      <c r="T13" s="181"/>
      <c r="U13" s="181"/>
      <c r="V13" s="181"/>
    </row>
    <row r="14" spans="1:22">
      <c r="A14" s="181"/>
      <c r="B14" s="181"/>
      <c r="C14" s="181"/>
      <c r="D14" s="181"/>
      <c r="E14" s="181"/>
      <c r="F14" s="181"/>
      <c r="G14" s="181"/>
      <c r="H14" s="181"/>
      <c r="J14" s="181"/>
      <c r="K14" s="181"/>
      <c r="L14" s="181"/>
      <c r="M14" s="181"/>
      <c r="N14" s="181"/>
      <c r="O14" s="181"/>
      <c r="P14" s="181"/>
      <c r="Q14" s="181"/>
      <c r="R14" s="181"/>
      <c r="S14" s="181"/>
      <c r="T14" s="181"/>
      <c r="U14" s="181"/>
      <c r="V14" s="181"/>
    </row>
    <row r="15" spans="1:22">
      <c r="A15" s="181"/>
      <c r="B15" s="181"/>
      <c r="C15" s="181"/>
      <c r="D15" s="181"/>
      <c r="E15" s="181"/>
      <c r="F15" s="181"/>
      <c r="G15" s="181"/>
      <c r="H15" s="181"/>
      <c r="J15" s="181"/>
      <c r="K15" s="181"/>
      <c r="L15" s="181"/>
      <c r="M15" s="181"/>
      <c r="N15" s="181"/>
      <c r="O15" s="181"/>
      <c r="P15" s="181"/>
      <c r="Q15" s="181"/>
      <c r="R15" s="181"/>
      <c r="S15" s="181"/>
      <c r="T15" s="181"/>
      <c r="U15" s="181"/>
      <c r="V15" s="181"/>
    </row>
    <row r="16" spans="1:22">
      <c r="A16" s="181"/>
      <c r="B16" s="181"/>
      <c r="C16" s="181"/>
      <c r="D16" s="181"/>
      <c r="E16" s="181"/>
      <c r="F16" s="181"/>
      <c r="G16" s="181"/>
      <c r="H16" s="181"/>
      <c r="J16" s="181"/>
      <c r="K16" s="181"/>
      <c r="L16" s="181"/>
      <c r="M16" s="181"/>
      <c r="N16" s="181"/>
      <c r="O16" s="181"/>
      <c r="P16" s="181"/>
      <c r="Q16" s="181"/>
      <c r="R16" s="181"/>
      <c r="S16" s="181"/>
      <c r="T16" s="181"/>
      <c r="U16" s="181"/>
      <c r="V16" s="181"/>
    </row>
    <row r="17" spans="1:22">
      <c r="A17" s="181"/>
      <c r="B17" s="181"/>
      <c r="C17" s="181"/>
      <c r="D17" s="181"/>
      <c r="E17" s="181"/>
      <c r="F17" s="181"/>
      <c r="G17" s="181"/>
      <c r="H17" s="181"/>
      <c r="J17" s="181"/>
      <c r="K17" s="181"/>
      <c r="L17" s="181"/>
      <c r="M17" s="181"/>
      <c r="N17" s="181"/>
      <c r="O17" s="181"/>
      <c r="P17" s="181"/>
      <c r="Q17" s="181"/>
      <c r="R17" s="181"/>
      <c r="S17" s="181"/>
      <c r="T17" s="181"/>
      <c r="U17" s="181"/>
      <c r="V17" s="181"/>
    </row>
    <row r="18" spans="1:22">
      <c r="A18" s="181"/>
      <c r="B18" s="181"/>
      <c r="C18" s="181"/>
      <c r="D18" s="181"/>
      <c r="E18" s="181"/>
      <c r="F18" s="181"/>
      <c r="G18" s="181"/>
      <c r="H18" s="181"/>
      <c r="J18" s="181"/>
      <c r="K18" s="181"/>
      <c r="L18" s="181"/>
      <c r="M18" s="181"/>
      <c r="N18" s="181"/>
      <c r="O18" s="181"/>
      <c r="P18" s="181"/>
      <c r="Q18" s="181"/>
      <c r="R18" s="181"/>
      <c r="S18" s="181"/>
      <c r="T18" s="181"/>
      <c r="U18" s="181"/>
      <c r="V18" s="181"/>
    </row>
    <row r="19" spans="1:22">
      <c r="A19" s="181"/>
      <c r="B19" s="181"/>
      <c r="C19" s="181"/>
      <c r="D19" s="181"/>
      <c r="E19" s="181"/>
      <c r="F19" s="181"/>
      <c r="G19" s="181"/>
      <c r="H19" s="181"/>
      <c r="J19" s="181"/>
      <c r="K19" s="181"/>
      <c r="L19" s="181"/>
      <c r="M19" s="181"/>
      <c r="N19" s="181"/>
      <c r="O19" s="181"/>
      <c r="P19" s="181"/>
      <c r="Q19" s="181"/>
      <c r="R19" s="181"/>
      <c r="S19" s="181"/>
      <c r="T19" s="181"/>
      <c r="U19" s="181"/>
      <c r="V19" s="181"/>
    </row>
    <row r="20" spans="1:22">
      <c r="A20" s="181"/>
      <c r="B20" s="181"/>
      <c r="C20" s="181"/>
      <c r="D20" s="181"/>
      <c r="E20" s="181"/>
      <c r="F20" s="181"/>
      <c r="G20" s="181"/>
      <c r="H20" s="181"/>
      <c r="J20" s="181"/>
      <c r="K20" s="181"/>
      <c r="L20" s="181"/>
      <c r="M20" s="181"/>
      <c r="N20" s="181"/>
      <c r="O20" s="181"/>
      <c r="P20" s="181"/>
      <c r="Q20" s="181"/>
      <c r="R20" s="181"/>
      <c r="S20" s="181"/>
      <c r="T20" s="181"/>
      <c r="U20" s="181"/>
      <c r="V20" s="181"/>
    </row>
    <row r="21" spans="1:22">
      <c r="A21" s="181"/>
      <c r="B21" s="181"/>
      <c r="C21" s="181"/>
      <c r="D21" s="181"/>
      <c r="E21" s="181"/>
      <c r="F21" s="181"/>
      <c r="G21" s="181"/>
      <c r="H21" s="181"/>
      <c r="J21" s="181"/>
      <c r="K21" s="181"/>
      <c r="L21" s="181"/>
      <c r="M21" s="181"/>
      <c r="N21" s="181"/>
      <c r="O21" s="181"/>
      <c r="P21" s="181"/>
      <c r="Q21" s="181"/>
      <c r="R21" s="181"/>
      <c r="S21" s="181"/>
      <c r="T21" s="181"/>
      <c r="U21" s="181"/>
      <c r="V21" s="181"/>
    </row>
    <row r="22" spans="1:22">
      <c r="A22" s="181"/>
      <c r="B22" s="181"/>
      <c r="C22" s="181"/>
      <c r="D22" s="181"/>
      <c r="E22" s="181"/>
      <c r="F22" s="181"/>
      <c r="G22" s="181"/>
      <c r="H22" s="181"/>
      <c r="J22" s="181"/>
      <c r="K22" s="181"/>
      <c r="L22" s="181"/>
      <c r="M22" s="181"/>
      <c r="N22" s="181"/>
      <c r="O22" s="181"/>
      <c r="P22" s="181"/>
      <c r="Q22" s="181"/>
      <c r="R22" s="181"/>
      <c r="S22" s="181"/>
      <c r="T22" s="181"/>
      <c r="U22" s="181"/>
      <c r="V22" s="181"/>
    </row>
    <row r="23" spans="1:22">
      <c r="A23" s="181"/>
      <c r="B23" s="181"/>
      <c r="C23" s="181"/>
      <c r="D23" s="181"/>
      <c r="E23" s="181"/>
      <c r="F23" s="181"/>
      <c r="G23" s="181"/>
      <c r="H23" s="181"/>
      <c r="J23" s="181"/>
      <c r="K23" s="181"/>
      <c r="L23" s="181"/>
      <c r="M23" s="181"/>
      <c r="N23" s="181"/>
      <c r="O23" s="181"/>
      <c r="P23" s="181"/>
      <c r="Q23" s="181"/>
      <c r="R23" s="181"/>
      <c r="S23" s="181"/>
      <c r="T23" s="181"/>
      <c r="U23" s="181"/>
      <c r="V23" s="181"/>
    </row>
    <row r="24" spans="1:22">
      <c r="A24" s="181"/>
      <c r="B24" s="181"/>
      <c r="C24" s="181"/>
      <c r="D24" s="181"/>
      <c r="E24" s="181"/>
      <c r="F24" s="181"/>
      <c r="G24" s="181"/>
      <c r="H24" s="181"/>
      <c r="J24" s="181"/>
      <c r="K24" s="181"/>
      <c r="L24" s="181"/>
      <c r="M24" s="181"/>
      <c r="N24" s="181"/>
      <c r="O24" s="181"/>
      <c r="P24" s="181"/>
      <c r="Q24" s="181"/>
      <c r="R24" s="181"/>
      <c r="S24" s="181"/>
      <c r="T24" s="181"/>
      <c r="U24" s="181"/>
      <c r="V24" s="181"/>
    </row>
    <row r="25" spans="1:22">
      <c r="A25" s="181"/>
      <c r="B25" s="181"/>
      <c r="C25" s="181"/>
      <c r="D25" s="181"/>
      <c r="E25" s="181"/>
      <c r="F25" s="181"/>
      <c r="G25" s="181"/>
      <c r="H25" s="181"/>
      <c r="J25" s="181"/>
      <c r="K25" s="181"/>
      <c r="L25" s="181"/>
      <c r="M25" s="181"/>
      <c r="N25" s="181"/>
      <c r="O25" s="181"/>
      <c r="P25" s="181"/>
      <c r="Q25" s="181"/>
      <c r="R25" s="181"/>
      <c r="S25" s="181"/>
      <c r="T25" s="181"/>
      <c r="U25" s="181"/>
      <c r="V25" s="181"/>
    </row>
    <row r="26" spans="1:22">
      <c r="A26" s="181"/>
      <c r="B26" s="181"/>
      <c r="C26" s="181"/>
      <c r="D26" s="181"/>
      <c r="E26" s="181"/>
      <c r="F26" s="181"/>
      <c r="G26" s="181"/>
      <c r="H26" s="181"/>
      <c r="J26" s="181"/>
      <c r="K26" s="181"/>
      <c r="L26" s="181"/>
      <c r="M26" s="181"/>
      <c r="N26" s="181"/>
      <c r="O26" s="181"/>
      <c r="P26" s="181"/>
      <c r="Q26" s="181"/>
      <c r="R26" s="181"/>
      <c r="S26" s="181"/>
      <c r="T26" s="181"/>
      <c r="U26" s="181"/>
      <c r="V26" s="181"/>
    </row>
    <row r="27" spans="1:22">
      <c r="A27" s="181"/>
      <c r="B27" s="181"/>
      <c r="C27" s="181"/>
      <c r="D27" s="181"/>
      <c r="E27" s="181"/>
      <c r="F27" s="181"/>
      <c r="G27" s="181"/>
      <c r="H27" s="181"/>
      <c r="J27" s="181"/>
      <c r="K27" s="181"/>
      <c r="L27" s="181"/>
      <c r="M27" s="181"/>
      <c r="N27" s="181"/>
      <c r="O27" s="181"/>
      <c r="P27" s="181"/>
      <c r="Q27" s="181"/>
      <c r="R27" s="181"/>
      <c r="S27" s="181"/>
      <c r="T27" s="181"/>
      <c r="U27" s="181"/>
      <c r="V27" s="181"/>
    </row>
    <row r="28" spans="1:22">
      <c r="A28" s="181"/>
      <c r="B28" s="181"/>
      <c r="C28" s="181"/>
      <c r="D28" s="181"/>
      <c r="E28" s="181"/>
      <c r="F28" s="181"/>
      <c r="G28" s="181"/>
      <c r="H28" s="181"/>
      <c r="J28" s="181"/>
      <c r="K28" s="181"/>
      <c r="L28" s="181"/>
      <c r="M28" s="181"/>
      <c r="N28" s="181"/>
      <c r="O28" s="181"/>
      <c r="P28" s="181"/>
      <c r="Q28" s="181"/>
      <c r="R28" s="181"/>
      <c r="S28" s="181"/>
      <c r="T28" s="181"/>
      <c r="U28" s="181"/>
      <c r="V28" s="181"/>
    </row>
    <row r="29" spans="1:22">
      <c r="A29" s="181"/>
      <c r="B29" s="181"/>
      <c r="C29" s="181"/>
      <c r="D29" s="181"/>
      <c r="E29" s="181"/>
      <c r="F29" s="181"/>
      <c r="G29" s="181"/>
      <c r="H29" s="181"/>
      <c r="J29" s="181"/>
      <c r="K29" s="181"/>
      <c r="L29" s="181"/>
      <c r="M29" s="181"/>
      <c r="N29" s="181"/>
      <c r="O29" s="181"/>
      <c r="P29" s="181"/>
      <c r="Q29" s="181"/>
      <c r="R29" s="181"/>
      <c r="S29" s="181"/>
      <c r="T29" s="181"/>
      <c r="U29" s="181"/>
      <c r="V29" s="181"/>
    </row>
    <row r="30" spans="1:22">
      <c r="A30" s="181"/>
      <c r="B30" s="181"/>
      <c r="C30" s="181"/>
      <c r="D30" s="181"/>
      <c r="E30" s="181"/>
      <c r="F30" s="181"/>
      <c r="G30" s="181"/>
      <c r="H30" s="181"/>
      <c r="J30" s="181"/>
      <c r="K30" s="181"/>
      <c r="L30" s="181"/>
      <c r="M30" s="181"/>
      <c r="N30" s="181"/>
      <c r="O30" s="181"/>
      <c r="P30" s="181"/>
      <c r="Q30" s="181"/>
      <c r="R30" s="181"/>
      <c r="S30" s="181"/>
      <c r="T30" s="181"/>
      <c r="U30" s="181"/>
      <c r="V30" s="181"/>
    </row>
    <row r="31" spans="1:22">
      <c r="A31" s="181"/>
      <c r="B31" s="181"/>
      <c r="C31" s="181"/>
      <c r="D31" s="181"/>
      <c r="E31" s="181"/>
      <c r="F31" s="181"/>
      <c r="G31" s="181"/>
      <c r="H31" s="181"/>
      <c r="J31" s="181"/>
      <c r="K31" s="181"/>
      <c r="L31" s="181"/>
      <c r="M31" s="181"/>
      <c r="N31" s="181"/>
      <c r="O31" s="181"/>
      <c r="P31" s="181"/>
      <c r="Q31" s="181"/>
      <c r="R31" s="181"/>
      <c r="S31" s="181"/>
      <c r="T31" s="181"/>
      <c r="U31" s="181"/>
      <c r="V31" s="181"/>
    </row>
    <row r="32" spans="1:22">
      <c r="A32" s="181"/>
      <c r="B32" s="181"/>
      <c r="C32" s="181"/>
      <c r="D32" s="181"/>
      <c r="E32" s="181"/>
      <c r="F32" s="181"/>
      <c r="G32" s="181"/>
      <c r="H32" s="181"/>
      <c r="J32" s="181"/>
      <c r="K32" s="181"/>
      <c r="L32" s="181"/>
      <c r="M32" s="181"/>
      <c r="N32" s="181"/>
      <c r="O32" s="181"/>
      <c r="P32" s="181"/>
      <c r="Q32" s="181"/>
      <c r="R32" s="181"/>
      <c r="S32" s="181"/>
      <c r="T32" s="181"/>
      <c r="U32" s="181"/>
      <c r="V32" s="181"/>
    </row>
    <row r="33" spans="1:22">
      <c r="A33" s="181"/>
      <c r="B33" s="181"/>
      <c r="C33" s="181"/>
      <c r="D33" s="181"/>
      <c r="E33" s="181"/>
      <c r="F33" s="181"/>
      <c r="G33" s="181"/>
      <c r="H33" s="181"/>
      <c r="J33" s="181"/>
      <c r="K33" s="181"/>
      <c r="L33" s="181"/>
      <c r="M33" s="181"/>
      <c r="N33" s="181"/>
      <c r="O33" s="181"/>
      <c r="P33" s="181"/>
      <c r="Q33" s="181"/>
      <c r="R33" s="181"/>
      <c r="S33" s="181"/>
      <c r="T33" s="181"/>
      <c r="U33" s="181"/>
      <c r="V33" s="181"/>
    </row>
    <row r="34" spans="1:22">
      <c r="A34" s="181"/>
      <c r="B34" s="181"/>
      <c r="C34" s="181"/>
      <c r="D34" s="181"/>
      <c r="E34" s="181"/>
      <c r="F34" s="181"/>
      <c r="G34" s="181"/>
      <c r="H34" s="181"/>
      <c r="J34" s="181"/>
      <c r="K34" s="181"/>
      <c r="L34" s="181"/>
      <c r="M34" s="181"/>
      <c r="N34" s="181"/>
      <c r="O34" s="181"/>
      <c r="P34" s="181"/>
      <c r="Q34" s="181"/>
      <c r="R34" s="181"/>
      <c r="S34" s="181"/>
      <c r="T34" s="181"/>
      <c r="U34" s="181"/>
      <c r="V34" s="181"/>
    </row>
    <row r="35" spans="1:22">
      <c r="A35" s="181"/>
      <c r="B35" s="181"/>
      <c r="C35" s="181"/>
      <c r="D35" s="181"/>
      <c r="E35" s="181"/>
      <c r="F35" s="181"/>
      <c r="G35" s="181"/>
      <c r="H35" s="181"/>
      <c r="J35" s="181"/>
      <c r="K35" s="181"/>
      <c r="L35" s="181"/>
      <c r="M35" s="181"/>
      <c r="N35" s="181"/>
      <c r="O35" s="181"/>
      <c r="P35" s="181"/>
      <c r="Q35" s="181"/>
      <c r="R35" s="181"/>
      <c r="S35" s="181"/>
      <c r="T35" s="181"/>
      <c r="U35" s="181"/>
      <c r="V35" s="181"/>
    </row>
    <row r="36" spans="1:22">
      <c r="A36" s="181"/>
      <c r="B36" s="181"/>
      <c r="C36" s="181"/>
      <c r="D36" s="181"/>
      <c r="E36" s="181"/>
      <c r="F36" s="181"/>
      <c r="G36" s="181"/>
      <c r="H36" s="181"/>
      <c r="J36" s="181"/>
      <c r="K36" s="181"/>
      <c r="L36" s="181"/>
      <c r="M36" s="181"/>
      <c r="N36" s="181"/>
      <c r="O36" s="181"/>
      <c r="P36" s="181"/>
      <c r="Q36" s="181"/>
      <c r="R36" s="181"/>
      <c r="S36" s="181"/>
      <c r="T36" s="181"/>
      <c r="U36" s="181"/>
      <c r="V36" s="181"/>
    </row>
    <row r="37" spans="1:22">
      <c r="A37" s="181"/>
      <c r="B37" s="181"/>
      <c r="C37" s="181"/>
      <c r="D37" s="181"/>
      <c r="E37" s="181"/>
      <c r="F37" s="181"/>
      <c r="G37" s="181"/>
      <c r="H37" s="181"/>
      <c r="J37" s="181"/>
      <c r="K37" s="181"/>
      <c r="L37" s="181"/>
      <c r="M37" s="181"/>
      <c r="N37" s="181"/>
      <c r="O37" s="181"/>
      <c r="P37" s="181"/>
      <c r="Q37" s="181"/>
      <c r="R37" s="181"/>
      <c r="S37" s="181"/>
      <c r="T37" s="181"/>
      <c r="U37" s="181"/>
      <c r="V37" s="181"/>
    </row>
    <row r="38" spans="1:22">
      <c r="A38" s="181"/>
      <c r="B38" s="181"/>
      <c r="C38" s="181"/>
      <c r="D38" s="181"/>
      <c r="E38" s="181"/>
      <c r="F38" s="181"/>
      <c r="G38" s="181"/>
      <c r="H38" s="181"/>
      <c r="J38" s="181"/>
      <c r="K38" s="181"/>
      <c r="L38" s="181"/>
      <c r="M38" s="181"/>
      <c r="N38" s="181"/>
      <c r="O38" s="181"/>
      <c r="P38" s="181"/>
      <c r="Q38" s="181"/>
      <c r="R38" s="181"/>
      <c r="S38" s="181"/>
      <c r="T38" s="181"/>
      <c r="U38" s="181"/>
      <c r="V38" s="181"/>
    </row>
    <row r="39" spans="1:22">
      <c r="A39" s="181"/>
      <c r="B39" s="181"/>
      <c r="C39" s="181"/>
      <c r="D39" s="181"/>
      <c r="E39" s="181"/>
      <c r="F39" s="181"/>
      <c r="G39" s="181"/>
      <c r="H39" s="181"/>
      <c r="J39" s="181"/>
      <c r="K39" s="181"/>
      <c r="L39" s="181"/>
      <c r="M39" s="181"/>
      <c r="N39" s="181"/>
      <c r="O39" s="181"/>
      <c r="P39" s="181"/>
      <c r="Q39" s="181"/>
      <c r="R39" s="181"/>
      <c r="S39" s="181"/>
      <c r="T39" s="181"/>
      <c r="U39" s="181"/>
      <c r="V39" s="181"/>
    </row>
    <row r="40" spans="1:22">
      <c r="A40" s="181"/>
      <c r="B40" s="181"/>
      <c r="C40" s="181"/>
      <c r="D40" s="181"/>
      <c r="E40" s="181"/>
      <c r="F40" s="181"/>
      <c r="G40" s="181"/>
      <c r="H40" s="181"/>
      <c r="J40" s="181"/>
      <c r="K40" s="181"/>
      <c r="L40" s="181"/>
      <c r="M40" s="181"/>
      <c r="N40" s="181"/>
      <c r="O40" s="181"/>
      <c r="P40" s="181"/>
      <c r="Q40" s="181"/>
      <c r="R40" s="181"/>
      <c r="S40" s="181"/>
      <c r="T40" s="181"/>
      <c r="U40" s="181"/>
      <c r="V40" s="181"/>
    </row>
    <row r="41" spans="1:22">
      <c r="J41" s="181"/>
      <c r="K41" s="181"/>
      <c r="L41" s="181"/>
      <c r="M41" s="181"/>
      <c r="N41" s="181"/>
      <c r="O41" s="181"/>
      <c r="P41" s="181"/>
      <c r="Q41" s="181"/>
      <c r="R41" s="181"/>
      <c r="S41" s="181"/>
      <c r="T41" s="181"/>
      <c r="U41" s="181"/>
      <c r="V41" s="181"/>
    </row>
    <row r="42" spans="1:22">
      <c r="J42" s="181"/>
      <c r="K42" s="181"/>
      <c r="L42" s="181"/>
      <c r="M42" s="181"/>
      <c r="N42" s="181"/>
      <c r="O42" s="181"/>
      <c r="P42" s="181"/>
      <c r="Q42" s="181"/>
      <c r="R42" s="181"/>
      <c r="S42" s="181"/>
      <c r="T42" s="181"/>
      <c r="U42" s="181"/>
      <c r="V42" s="181"/>
    </row>
    <row r="43" spans="1:22">
      <c r="J43" s="181"/>
      <c r="K43" s="181"/>
      <c r="L43" s="181"/>
      <c r="M43" s="181"/>
      <c r="N43" s="181"/>
      <c r="O43" s="181"/>
      <c r="P43" s="181"/>
      <c r="Q43" s="181"/>
      <c r="R43" s="181"/>
      <c r="S43" s="181"/>
      <c r="T43" s="181"/>
      <c r="U43" s="181"/>
      <c r="V43" s="181"/>
    </row>
    <row r="44" spans="1:22">
      <c r="J44" s="181"/>
      <c r="K44" s="181"/>
      <c r="L44" s="181"/>
      <c r="M44" s="181"/>
      <c r="N44" s="181"/>
      <c r="O44" s="181"/>
      <c r="P44" s="181"/>
      <c r="Q44" s="181"/>
      <c r="R44" s="181"/>
      <c r="S44" s="181"/>
      <c r="T44" s="181"/>
      <c r="U44" s="181"/>
      <c r="V44" s="181"/>
    </row>
    <row r="45" spans="1:22">
      <c r="J45" s="181"/>
      <c r="K45" s="181"/>
      <c r="L45" s="181"/>
      <c r="M45" s="181"/>
      <c r="N45" s="181"/>
      <c r="O45" s="181"/>
      <c r="P45" s="181"/>
      <c r="Q45" s="181"/>
      <c r="R45" s="188"/>
      <c r="S45" s="181"/>
      <c r="T45" s="181"/>
      <c r="U45" s="181"/>
      <c r="V45" s="181"/>
    </row>
    <row r="46" spans="1:22">
      <c r="J46" s="181"/>
      <c r="K46" s="181"/>
      <c r="L46" s="181"/>
      <c r="M46" s="181"/>
      <c r="N46" s="181"/>
      <c r="O46" s="181"/>
      <c r="P46" s="181"/>
      <c r="Q46" s="181"/>
      <c r="R46" s="181"/>
      <c r="S46" s="181"/>
      <c r="T46" s="181"/>
      <c r="U46" s="181"/>
      <c r="V46" s="181"/>
    </row>
    <row r="47" spans="1:22">
      <c r="J47" s="181"/>
      <c r="K47" s="181"/>
      <c r="L47" s="181"/>
      <c r="M47" s="181"/>
      <c r="N47" s="181"/>
      <c r="O47" s="181"/>
      <c r="P47" s="181"/>
      <c r="Q47" s="181"/>
      <c r="R47" s="181"/>
      <c r="S47" s="181"/>
      <c r="T47" s="181"/>
      <c r="U47" s="181"/>
      <c r="V47" s="181"/>
    </row>
    <row r="48" spans="1:22">
      <c r="J48" s="181"/>
      <c r="K48" s="181"/>
      <c r="L48" s="181"/>
      <c r="M48" s="181"/>
      <c r="N48" s="181"/>
      <c r="O48" s="181"/>
      <c r="P48" s="181"/>
      <c r="Q48" s="181"/>
      <c r="R48" s="181"/>
      <c r="S48" s="181"/>
      <c r="T48" s="181"/>
      <c r="U48" s="181"/>
      <c r="V48" s="181"/>
    </row>
    <row r="49" spans="10:22">
      <c r="J49" s="181"/>
      <c r="K49" s="181"/>
      <c r="L49" s="181"/>
      <c r="M49" s="181"/>
      <c r="N49" s="181"/>
      <c r="O49" s="181"/>
      <c r="P49" s="181"/>
      <c r="Q49" s="181"/>
      <c r="R49" s="181"/>
      <c r="S49" s="181"/>
      <c r="T49" s="181"/>
      <c r="U49" s="181"/>
      <c r="V49" s="181"/>
    </row>
    <row r="50" spans="10:22">
      <c r="J50" s="181"/>
      <c r="K50" s="181"/>
      <c r="L50" s="181"/>
      <c r="M50" s="181"/>
      <c r="N50" s="181"/>
      <c r="O50" s="181"/>
      <c r="P50" s="181"/>
      <c r="Q50" s="181"/>
      <c r="R50" s="181"/>
      <c r="S50" s="181"/>
      <c r="T50" s="181"/>
      <c r="U50" s="181"/>
      <c r="V50" s="181"/>
    </row>
    <row r="51" spans="10:22">
      <c r="J51" s="181"/>
      <c r="K51" s="181"/>
      <c r="L51" s="181"/>
      <c r="M51" s="181"/>
      <c r="N51" s="181"/>
      <c r="O51" s="181"/>
      <c r="P51" s="181"/>
      <c r="Q51" s="181"/>
      <c r="R51" s="181"/>
      <c r="S51" s="181"/>
      <c r="T51" s="181"/>
      <c r="U51" s="181"/>
      <c r="V51" s="181"/>
    </row>
    <row r="52" spans="10:22">
      <c r="J52" s="181"/>
      <c r="K52" s="181"/>
      <c r="L52" s="181"/>
      <c r="M52" s="181"/>
      <c r="N52" s="181"/>
      <c r="O52" s="181"/>
      <c r="P52" s="181"/>
      <c r="Q52" s="181"/>
      <c r="R52" s="181"/>
      <c r="S52" s="181"/>
      <c r="T52" s="181"/>
      <c r="U52" s="181"/>
      <c r="V52" s="181"/>
    </row>
    <row r="53" spans="10:22">
      <c r="J53" s="181"/>
      <c r="K53" s="181"/>
      <c r="L53" s="181"/>
      <c r="M53" s="181"/>
      <c r="N53" s="181"/>
      <c r="O53" s="181"/>
      <c r="P53" s="181"/>
      <c r="Q53" s="181"/>
      <c r="R53" s="181"/>
      <c r="S53" s="181"/>
      <c r="T53" s="181"/>
      <c r="U53" s="181"/>
      <c r="V53" s="181"/>
    </row>
    <row r="54" spans="10:22">
      <c r="J54" s="181"/>
      <c r="K54" s="181"/>
      <c r="L54" s="181"/>
      <c r="M54" s="181"/>
      <c r="N54" s="181"/>
      <c r="O54" s="181"/>
      <c r="P54" s="181"/>
      <c r="Q54" s="181"/>
      <c r="R54" s="181"/>
      <c r="S54" s="181"/>
      <c r="T54" s="181"/>
      <c r="U54" s="181"/>
      <c r="V54" s="181"/>
    </row>
    <row r="55" spans="10:22">
      <c r="J55" s="181"/>
      <c r="K55" s="181"/>
      <c r="L55" s="181"/>
      <c r="M55" s="181"/>
      <c r="N55" s="181"/>
      <c r="O55" s="181"/>
      <c r="P55" s="181"/>
      <c r="Q55" s="181"/>
      <c r="R55" s="181"/>
      <c r="S55" s="181"/>
      <c r="T55" s="181"/>
      <c r="U55" s="181"/>
      <c r="V55" s="181"/>
    </row>
    <row r="56" spans="10:22">
      <c r="J56" s="181"/>
      <c r="K56" s="181"/>
      <c r="L56" s="181"/>
      <c r="M56" s="181"/>
      <c r="N56" s="181"/>
      <c r="O56" s="181"/>
      <c r="P56" s="181"/>
      <c r="Q56" s="181"/>
      <c r="R56" s="181"/>
      <c r="S56" s="181"/>
      <c r="T56" s="181"/>
      <c r="U56" s="181"/>
      <c r="V56" s="181"/>
    </row>
    <row r="57" spans="10:22">
      <c r="J57" s="181"/>
      <c r="K57" s="181"/>
      <c r="L57" s="181"/>
      <c r="M57" s="181"/>
      <c r="N57" s="181"/>
      <c r="O57" s="181"/>
      <c r="P57" s="181"/>
      <c r="Q57" s="181"/>
      <c r="R57" s="181"/>
      <c r="S57" s="181"/>
      <c r="T57" s="181"/>
      <c r="U57" s="181"/>
      <c r="V57" s="181"/>
    </row>
    <row r="58" spans="10:22">
      <c r="J58" s="181"/>
      <c r="K58" s="181"/>
      <c r="L58" s="181"/>
      <c r="M58" s="181"/>
      <c r="N58" s="181"/>
      <c r="O58" s="181"/>
      <c r="P58" s="181"/>
      <c r="Q58" s="181"/>
      <c r="R58" s="181"/>
      <c r="S58" s="181"/>
      <c r="T58" s="181"/>
      <c r="U58" s="181"/>
      <c r="V58" s="181"/>
    </row>
    <row r="59" spans="10:22">
      <c r="J59" s="181"/>
      <c r="K59" s="181"/>
      <c r="L59" s="181"/>
      <c r="M59" s="181"/>
      <c r="N59" s="181"/>
      <c r="O59" s="181"/>
      <c r="P59" s="181"/>
      <c r="Q59" s="181"/>
      <c r="R59" s="181"/>
      <c r="S59" s="181"/>
      <c r="T59" s="181"/>
      <c r="U59" s="181"/>
      <c r="V59" s="181"/>
    </row>
    <row r="60" spans="10:22">
      <c r="J60" s="181"/>
      <c r="K60" s="181"/>
      <c r="L60" s="181"/>
      <c r="M60" s="181"/>
      <c r="N60" s="181"/>
      <c r="O60" s="181"/>
      <c r="P60" s="181"/>
      <c r="Q60" s="181"/>
      <c r="R60" s="181"/>
      <c r="S60" s="181"/>
      <c r="T60" s="181"/>
      <c r="U60" s="181"/>
      <c r="V60" s="181"/>
    </row>
    <row r="61" spans="10:22">
      <c r="J61" s="181"/>
      <c r="K61" s="181"/>
      <c r="L61" s="181"/>
      <c r="M61" s="181"/>
      <c r="N61" s="181"/>
      <c r="O61" s="181"/>
      <c r="P61" s="181"/>
      <c r="Q61" s="181"/>
      <c r="R61" s="181"/>
      <c r="S61" s="181"/>
      <c r="T61" s="181"/>
      <c r="U61" s="181"/>
      <c r="V61" s="181"/>
    </row>
    <row r="62" spans="10:22">
      <c r="J62" s="181"/>
      <c r="K62" s="181"/>
      <c r="L62" s="181"/>
      <c r="M62" s="181"/>
      <c r="N62" s="181"/>
      <c r="O62" s="181"/>
      <c r="P62" s="181"/>
      <c r="Q62" s="181"/>
      <c r="R62" s="181"/>
      <c r="S62" s="181"/>
      <c r="T62" s="181"/>
      <c r="U62" s="181"/>
      <c r="V62" s="181"/>
    </row>
    <row r="63" spans="10:22">
      <c r="J63" s="181"/>
      <c r="K63" s="181"/>
      <c r="L63" s="181"/>
      <c r="M63" s="181"/>
      <c r="N63" s="181"/>
      <c r="O63" s="181"/>
      <c r="P63" s="181"/>
      <c r="Q63" s="181"/>
      <c r="R63" s="181"/>
      <c r="S63" s="181"/>
      <c r="T63" s="181"/>
      <c r="U63" s="181"/>
      <c r="V63" s="181"/>
    </row>
    <row r="64" spans="10:22">
      <c r="J64" s="181"/>
      <c r="K64" s="181"/>
      <c r="L64" s="181"/>
      <c r="M64" s="181"/>
      <c r="N64" s="181"/>
      <c r="O64" s="181"/>
      <c r="P64" s="181"/>
      <c r="Q64" s="181"/>
      <c r="R64" s="181"/>
      <c r="S64" s="181"/>
      <c r="T64" s="181"/>
      <c r="U64" s="181"/>
      <c r="V64" s="181"/>
    </row>
    <row r="65" spans="10:22">
      <c r="J65" s="181"/>
      <c r="K65" s="181"/>
      <c r="L65" s="181"/>
      <c r="M65" s="181"/>
      <c r="N65" s="181"/>
      <c r="O65" s="181"/>
      <c r="P65" s="181"/>
      <c r="Q65" s="181"/>
      <c r="R65" s="181"/>
      <c r="S65" s="181"/>
      <c r="T65" s="181"/>
      <c r="U65" s="181"/>
      <c r="V65" s="181"/>
    </row>
    <row r="66" spans="10:22">
      <c r="J66" s="181"/>
      <c r="K66" s="181"/>
      <c r="L66" s="181"/>
      <c r="M66" s="181"/>
      <c r="N66" s="181"/>
      <c r="O66" s="181"/>
      <c r="P66" s="181"/>
      <c r="Q66" s="181"/>
      <c r="R66" s="181"/>
      <c r="S66" s="181"/>
      <c r="T66" s="181"/>
      <c r="U66" s="181"/>
      <c r="V66" s="181"/>
    </row>
    <row r="67" spans="10:22">
      <c r="J67" s="181"/>
      <c r="K67" s="181"/>
      <c r="L67" s="181"/>
      <c r="M67" s="181"/>
      <c r="N67" s="181"/>
      <c r="O67" s="181"/>
      <c r="P67" s="181"/>
      <c r="Q67" s="181"/>
      <c r="R67" s="181"/>
      <c r="S67" s="181"/>
      <c r="T67" s="181"/>
      <c r="U67" s="181"/>
      <c r="V67" s="181"/>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L1:R19"/>
  <sheetViews>
    <sheetView workbookViewId="0">
      <selection activeCell="P10" sqref="P10"/>
    </sheetView>
  </sheetViews>
  <sheetFormatPr defaultColWidth="9" defaultRowHeight="15.6"/>
  <cols>
    <col min="1" max="16384" width="9" style="174"/>
  </cols>
  <sheetData>
    <row r="1" spans="12:18" ht="16.2" thickBot="1"/>
    <row r="2" spans="12:18" ht="26.4" thickBot="1">
      <c r="L2" s="191" t="s">
        <v>2</v>
      </c>
      <c r="M2" s="192"/>
      <c r="N2" s="192"/>
      <c r="O2" s="192"/>
      <c r="P2" s="192"/>
      <c r="Q2" s="192"/>
      <c r="R2" s="193"/>
    </row>
    <row r="3" spans="12:18">
      <c r="L3" s="189" t="s">
        <v>3</v>
      </c>
      <c r="M3" s="190"/>
      <c r="N3" s="49" t="s">
        <v>4</v>
      </c>
      <c r="O3" s="49" t="s">
        <v>5</v>
      </c>
      <c r="P3" s="49" t="s">
        <v>6</v>
      </c>
      <c r="Q3" s="49" t="s">
        <v>7</v>
      </c>
      <c r="R3" s="50" t="s">
        <v>8</v>
      </c>
    </row>
    <row r="4" spans="12:18">
      <c r="L4" s="53" t="s">
        <v>9</v>
      </c>
      <c r="M4" s="54"/>
      <c r="N4" s="55">
        <v>0.1</v>
      </c>
      <c r="O4" s="55">
        <v>0.11</v>
      </c>
      <c r="P4" s="55">
        <v>0.12</v>
      </c>
      <c r="Q4" s="55">
        <v>0.1</v>
      </c>
      <c r="R4" s="56">
        <v>0.13</v>
      </c>
    </row>
    <row r="5" spans="12:18">
      <c r="L5" s="53" t="s">
        <v>10</v>
      </c>
      <c r="M5" s="54"/>
      <c r="N5" s="55">
        <v>0.505</v>
      </c>
      <c r="O5" s="55">
        <v>0.51250000000000007</v>
      </c>
      <c r="P5" s="55">
        <v>0.52</v>
      </c>
      <c r="Q5" s="55">
        <v>0.52750000000000008</v>
      </c>
      <c r="R5" s="56">
        <v>0.53500000000000003</v>
      </c>
    </row>
    <row r="6" spans="12:18">
      <c r="L6" s="53" t="s">
        <v>11</v>
      </c>
      <c r="M6" s="54"/>
      <c r="N6" s="55">
        <v>0.02</v>
      </c>
      <c r="O6" s="55">
        <v>1.9310077519379847E-2</v>
      </c>
      <c r="P6" s="55">
        <v>1.9099999999999999E-2</v>
      </c>
      <c r="Q6" s="55">
        <v>1.9E-2</v>
      </c>
      <c r="R6" s="56">
        <v>1.89E-2</v>
      </c>
    </row>
    <row r="7" spans="12:18" ht="16.2" thickBot="1">
      <c r="L7" s="57" t="s">
        <v>12</v>
      </c>
      <c r="M7" s="58"/>
      <c r="N7" s="59">
        <v>0.08</v>
      </c>
      <c r="O7" s="59">
        <v>8.2937984496124037E-2</v>
      </c>
      <c r="P7" s="59">
        <v>8.3000000000000004E-2</v>
      </c>
      <c r="Q7" s="59">
        <v>8.3500000000000005E-2</v>
      </c>
      <c r="R7" s="60">
        <v>8.3799999999999999E-2</v>
      </c>
    </row>
    <row r="8" spans="12:18" ht="16.2" thickBot="1">
      <c r="L8" s="176"/>
      <c r="M8" s="6"/>
      <c r="N8" s="6"/>
      <c r="O8" s="6"/>
      <c r="P8" s="6"/>
      <c r="Q8" s="6"/>
      <c r="R8" s="177"/>
    </row>
    <row r="9" spans="12:18">
      <c r="L9" s="189" t="s">
        <v>13</v>
      </c>
      <c r="M9" s="190"/>
      <c r="N9" s="49" t="s">
        <v>4</v>
      </c>
      <c r="O9" s="49" t="s">
        <v>5</v>
      </c>
      <c r="P9" s="49" t="s">
        <v>6</v>
      </c>
      <c r="Q9" s="49" t="s">
        <v>7</v>
      </c>
      <c r="R9" s="50" t="s">
        <v>8</v>
      </c>
    </row>
    <row r="10" spans="12:18">
      <c r="L10" s="53" t="s">
        <v>9</v>
      </c>
      <c r="M10" s="54"/>
      <c r="N10" s="55">
        <v>0.15</v>
      </c>
      <c r="O10" s="55">
        <v>0.16</v>
      </c>
      <c r="P10" s="55">
        <v>0.17</v>
      </c>
      <c r="Q10" s="55">
        <v>0.15</v>
      </c>
      <c r="R10" s="56">
        <v>0.17</v>
      </c>
    </row>
    <row r="11" spans="12:18">
      <c r="L11" s="53" t="s">
        <v>10</v>
      </c>
      <c r="M11" s="54"/>
      <c r="N11" s="55">
        <v>0.48</v>
      </c>
      <c r="O11" s="55">
        <v>0.48499999999999999</v>
      </c>
      <c r="P11" s="55">
        <v>0.47499999999999998</v>
      </c>
      <c r="Q11" s="55">
        <v>0.47</v>
      </c>
      <c r="R11" s="56">
        <v>0.46500000000000002</v>
      </c>
    </row>
    <row r="12" spans="12:18">
      <c r="L12" s="53" t="s">
        <v>11</v>
      </c>
      <c r="M12" s="54"/>
      <c r="N12" s="55">
        <v>1.7500000000000002E-2</v>
      </c>
      <c r="O12" s="55">
        <v>1.7600000000000001E-2</v>
      </c>
      <c r="P12" s="55">
        <v>1.72E-2</v>
      </c>
      <c r="Q12" s="55">
        <v>1.7299999999999999E-2</v>
      </c>
      <c r="R12" s="56">
        <v>1.7100000000000001E-2</v>
      </c>
    </row>
    <row r="13" spans="12:18" ht="16.2" thickBot="1">
      <c r="L13" s="57" t="s">
        <v>12</v>
      </c>
      <c r="M13" s="58"/>
      <c r="N13" s="59">
        <v>7.0000000000000007E-2</v>
      </c>
      <c r="O13" s="59">
        <v>7.0999999999999994E-2</v>
      </c>
      <c r="P13" s="59">
        <v>7.1499999999999994E-2</v>
      </c>
      <c r="Q13" s="59">
        <v>7.1999999999999995E-2</v>
      </c>
      <c r="R13" s="60">
        <v>7.2499999999999995E-2</v>
      </c>
    </row>
    <row r="14" spans="12:18" ht="16.2" thickBot="1">
      <c r="L14" s="84"/>
      <c r="M14"/>
      <c r="N14"/>
      <c r="O14"/>
      <c r="P14"/>
      <c r="Q14"/>
      <c r="R14" s="85"/>
    </row>
    <row r="15" spans="12:18">
      <c r="L15" s="189" t="s">
        <v>3</v>
      </c>
      <c r="M15" s="190"/>
      <c r="N15" s="49" t="s">
        <v>4</v>
      </c>
      <c r="O15" s="49" t="s">
        <v>5</v>
      </c>
      <c r="P15" s="49" t="s">
        <v>6</v>
      </c>
      <c r="Q15" s="49" t="s">
        <v>7</v>
      </c>
      <c r="R15" s="50" t="s">
        <v>8</v>
      </c>
    </row>
    <row r="16" spans="12:18">
      <c r="L16" s="53" t="s">
        <v>9</v>
      </c>
      <c r="M16" s="54"/>
      <c r="N16" s="55">
        <v>0.2</v>
      </c>
      <c r="O16" s="55">
        <v>0.21</v>
      </c>
      <c r="P16" s="55">
        <v>0.22</v>
      </c>
      <c r="Q16" s="55">
        <v>0.2</v>
      </c>
      <c r="R16" s="56">
        <v>0.22</v>
      </c>
    </row>
    <row r="17" spans="12:18">
      <c r="L17" s="53" t="s">
        <v>10</v>
      </c>
      <c r="M17" s="54"/>
      <c r="N17" s="55">
        <v>0.46</v>
      </c>
      <c r="O17" s="55">
        <v>0.45500000000000002</v>
      </c>
      <c r="P17" s="55">
        <v>0.45200000000000001</v>
      </c>
      <c r="Q17" s="55">
        <v>0.45</v>
      </c>
      <c r="R17" s="56">
        <v>0.44500000000000001</v>
      </c>
    </row>
    <row r="18" spans="12:18">
      <c r="L18" s="53" t="s">
        <v>11</v>
      </c>
      <c r="M18" s="54"/>
      <c r="N18" s="55">
        <v>1.4999999999999999E-2</v>
      </c>
      <c r="O18" s="55">
        <v>1.4999999999999999E-2</v>
      </c>
      <c r="P18" s="55">
        <v>1.2500000000000001E-2</v>
      </c>
      <c r="Q18" s="55">
        <v>1.2500000000000001E-2</v>
      </c>
      <c r="R18" s="56">
        <v>1.2E-2</v>
      </c>
    </row>
    <row r="19" spans="12:18" ht="16.2" thickBot="1">
      <c r="L19" s="57" t="s">
        <v>12</v>
      </c>
      <c r="M19" s="58"/>
      <c r="N19" s="59">
        <v>0.06</v>
      </c>
      <c r="O19" s="59">
        <v>6.0999999999999999E-2</v>
      </c>
      <c r="P19" s="59">
        <v>6.1499999999999999E-2</v>
      </c>
      <c r="Q19" s="59">
        <v>5.8999999999999997E-2</v>
      </c>
      <c r="R19" s="60">
        <v>5.8999999999999997E-2</v>
      </c>
    </row>
  </sheetData>
  <mergeCells count="4">
    <mergeCell ref="L3:M3"/>
    <mergeCell ref="L9:M9"/>
    <mergeCell ref="L15:M15"/>
    <mergeCell ref="L2:R2"/>
  </mergeCells>
  <dataValidations count="1">
    <dataValidation type="list" allowBlank="1" showInputMessage="1" showErrorMessage="1" sqref="L15:M15" xr:uid="{EC101A96-F1FA-41CE-9DA2-88744E6EA42F}">
      <formula1>"Scenario 1, Scenario 2, Scenario 3"</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X187"/>
  <sheetViews>
    <sheetView topLeftCell="F6" workbookViewId="0">
      <selection activeCell="L15" sqref="L15"/>
    </sheetView>
  </sheetViews>
  <sheetFormatPr defaultColWidth="11" defaultRowHeight="15.6"/>
  <cols>
    <col min="2" max="2" width="70.8984375" bestFit="1" customWidth="1"/>
    <col min="3" max="4" width="9" customWidth="1"/>
    <col min="5" max="5" width="9.59765625" customWidth="1"/>
    <col min="6" max="6" width="11.59765625" customWidth="1"/>
    <col min="7" max="7" width="12" customWidth="1"/>
    <col min="8" max="8" width="11.8984375" customWidth="1"/>
    <col min="9" max="13" width="11.09765625" customWidth="1"/>
    <col min="16" max="16" width="16.59765625" bestFit="1" customWidth="1"/>
    <col min="17" max="17" width="6.59765625" bestFit="1" customWidth="1"/>
  </cols>
  <sheetData>
    <row r="1" spans="2:24" ht="31.8" thickBot="1">
      <c r="B1" s="194" t="s">
        <v>14</v>
      </c>
      <c r="C1" s="195"/>
      <c r="D1" s="195"/>
      <c r="E1" s="195"/>
      <c r="F1" s="195"/>
      <c r="G1" s="195"/>
      <c r="H1" s="195"/>
      <c r="I1" s="195"/>
      <c r="J1" s="195"/>
      <c r="K1" s="195"/>
      <c r="L1" s="195"/>
      <c r="M1" s="196"/>
    </row>
    <row r="2" spans="2:24">
      <c r="B2" s="1"/>
    </row>
    <row r="3" spans="2:24">
      <c r="B3" t="s">
        <v>15</v>
      </c>
    </row>
    <row r="5" spans="2:24">
      <c r="B5" s="2" t="s">
        <v>16</v>
      </c>
      <c r="C5" s="3"/>
      <c r="D5" s="3"/>
      <c r="E5" s="3"/>
      <c r="F5" s="3"/>
      <c r="G5" s="3"/>
      <c r="H5" s="4"/>
      <c r="I5" s="4"/>
      <c r="J5" s="4"/>
      <c r="K5" s="4"/>
      <c r="L5" s="4"/>
      <c r="M5" s="5"/>
      <c r="O5" s="6"/>
      <c r="P5" s="6"/>
      <c r="Q5" s="6"/>
      <c r="R5" s="6"/>
      <c r="S5" s="6"/>
      <c r="T5" s="6"/>
      <c r="U5" s="6"/>
      <c r="V5" s="6"/>
      <c r="W5" s="6"/>
      <c r="X5" s="6"/>
    </row>
    <row r="6" spans="2:24">
      <c r="B6" s="7"/>
      <c r="K6" s="1" t="s">
        <v>17</v>
      </c>
      <c r="M6" s="8">
        <v>360</v>
      </c>
      <c r="O6" s="6"/>
      <c r="P6" s="6"/>
      <c r="Q6" s="6"/>
      <c r="R6" s="6"/>
      <c r="S6" s="6"/>
      <c r="T6" s="6"/>
      <c r="U6" s="6"/>
      <c r="V6" s="6"/>
      <c r="W6" s="6"/>
      <c r="X6" s="6"/>
    </row>
    <row r="7" spans="2:24">
      <c r="B7" s="9" t="s">
        <v>18</v>
      </c>
      <c r="E7" s="10">
        <v>42764</v>
      </c>
      <c r="G7" s="1" t="s">
        <v>19</v>
      </c>
      <c r="I7" s="11">
        <v>2017</v>
      </c>
      <c r="K7" s="1" t="s">
        <v>20</v>
      </c>
      <c r="M7" s="12">
        <v>100000</v>
      </c>
      <c r="O7" s="6"/>
      <c r="P7" s="6"/>
      <c r="Q7" s="6"/>
      <c r="R7" s="6"/>
      <c r="S7" s="6"/>
      <c r="T7" s="6"/>
      <c r="U7" s="6"/>
      <c r="V7" s="6"/>
      <c r="W7" s="6"/>
      <c r="X7" s="6"/>
    </row>
    <row r="8" spans="2:24">
      <c r="B8" s="9" t="s">
        <v>21</v>
      </c>
      <c r="E8" s="11" t="s">
        <v>22</v>
      </c>
      <c r="G8" s="1" t="s">
        <v>23</v>
      </c>
      <c r="I8" s="11">
        <v>2018</v>
      </c>
      <c r="K8" s="1" t="s">
        <v>24</v>
      </c>
      <c r="M8" s="13">
        <v>0.2</v>
      </c>
      <c r="O8" s="6"/>
      <c r="P8" s="6"/>
      <c r="Q8" s="6"/>
      <c r="R8" s="6"/>
      <c r="S8" s="6"/>
      <c r="T8" s="6"/>
      <c r="U8" s="6"/>
      <c r="V8" s="6"/>
      <c r="W8" s="6"/>
      <c r="X8" s="6"/>
    </row>
    <row r="9" spans="2:24">
      <c r="B9" s="9" t="s">
        <v>25</v>
      </c>
      <c r="D9" s="14"/>
      <c r="E9" s="15">
        <v>140</v>
      </c>
      <c r="G9" s="1" t="s">
        <v>26</v>
      </c>
      <c r="I9" s="11">
        <v>1000</v>
      </c>
      <c r="K9" s="1" t="s">
        <v>27</v>
      </c>
      <c r="M9" s="16">
        <v>0.06</v>
      </c>
      <c r="O9" s="6"/>
      <c r="P9" s="6"/>
      <c r="Q9" s="6"/>
      <c r="R9" s="6"/>
      <c r="S9" s="6"/>
      <c r="T9" s="6"/>
      <c r="U9" s="6"/>
      <c r="V9" s="6"/>
      <c r="W9" s="6"/>
      <c r="X9" s="6"/>
    </row>
    <row r="10" spans="2:24">
      <c r="B10" s="7"/>
      <c r="K10" s="1" t="s">
        <v>28</v>
      </c>
      <c r="M10" s="16">
        <v>5.0000000000000001E-3</v>
      </c>
      <c r="O10" s="6"/>
      <c r="P10" s="6"/>
      <c r="Q10" s="6"/>
      <c r="R10" s="6"/>
      <c r="S10" s="6"/>
      <c r="T10" s="6"/>
      <c r="U10" s="6"/>
      <c r="V10" s="6"/>
      <c r="W10" s="6"/>
      <c r="X10" s="6"/>
    </row>
    <row r="11" spans="2:24">
      <c r="B11" s="9" t="s">
        <v>29</v>
      </c>
      <c r="E11" s="17">
        <v>1000000</v>
      </c>
      <c r="G11" s="1" t="s">
        <v>30</v>
      </c>
      <c r="K11" s="1" t="s">
        <v>31</v>
      </c>
      <c r="M11" s="18">
        <f>IF($L$15=1,-15%,IF($L$15=2,10%,IF($L$15=3,20%,0%)))</f>
        <v>0.2</v>
      </c>
      <c r="O11" s="6"/>
      <c r="P11" s="6"/>
      <c r="Q11" s="6"/>
      <c r="R11" s="6"/>
      <c r="S11" s="6"/>
      <c r="T11" s="6"/>
      <c r="U11" s="6"/>
      <c r="V11" s="6"/>
      <c r="W11" s="6"/>
      <c r="X11" s="6"/>
    </row>
    <row r="12" spans="2:24">
      <c r="B12" s="9" t="s">
        <v>32</v>
      </c>
      <c r="E12" s="19">
        <f>E11/Units*Share_Price</f>
        <v>140000</v>
      </c>
      <c r="K12" s="1" t="s">
        <v>33</v>
      </c>
      <c r="M12" s="20">
        <f>+L15</f>
        <v>3</v>
      </c>
      <c r="O12" s="6"/>
      <c r="P12" s="6"/>
      <c r="Q12" s="6"/>
      <c r="R12" s="6"/>
      <c r="S12" s="6"/>
      <c r="T12" s="6"/>
      <c r="U12" s="6"/>
      <c r="V12" s="6"/>
      <c r="W12" s="6"/>
      <c r="X12" s="6"/>
    </row>
    <row r="13" spans="2:24" ht="16.2" thickBot="1">
      <c r="B13" s="9" t="s">
        <v>34</v>
      </c>
      <c r="E13" s="21">
        <f>E11+J20</f>
        <v>1500000</v>
      </c>
      <c r="G13" s="22"/>
      <c r="H13" s="22"/>
      <c r="I13" s="22" t="s">
        <v>35</v>
      </c>
      <c r="J13" s="22"/>
      <c r="K13" s="1"/>
      <c r="M13" s="23"/>
      <c r="O13" s="6"/>
      <c r="P13" s="6"/>
      <c r="Q13" s="6"/>
      <c r="R13" s="6"/>
      <c r="S13" s="6"/>
      <c r="T13" s="6"/>
      <c r="U13" s="6"/>
      <c r="V13" s="6"/>
      <c r="W13" s="6"/>
      <c r="X13" s="6"/>
    </row>
    <row r="14" spans="2:24">
      <c r="B14" s="9" t="s">
        <v>36</v>
      </c>
      <c r="E14" s="19">
        <f>E13/Units*Share_Price</f>
        <v>210000</v>
      </c>
      <c r="G14" s="24" t="s">
        <v>37</v>
      </c>
      <c r="H14" s="24" t="s">
        <v>38</v>
      </c>
      <c r="I14" s="24" t="s">
        <v>39</v>
      </c>
      <c r="J14" s="24" t="s">
        <v>40</v>
      </c>
      <c r="L14" s="25" t="s">
        <v>41</v>
      </c>
      <c r="M14" s="26"/>
      <c r="O14" s="6"/>
      <c r="P14" s="6"/>
      <c r="Q14" s="6"/>
      <c r="R14" s="6"/>
      <c r="S14" s="6"/>
      <c r="T14" s="6"/>
      <c r="U14" s="6"/>
      <c r="V14" s="6"/>
      <c r="W14" s="6"/>
      <c r="X14" s="6"/>
    </row>
    <row r="15" spans="2:24" ht="21.6" thickBot="1">
      <c r="B15" s="27" t="s">
        <v>42</v>
      </c>
      <c r="E15" s="28">
        <f>H108+H109+H117</f>
        <v>35799</v>
      </c>
      <c r="G15" s="29" t="s">
        <v>43</v>
      </c>
      <c r="H15" s="17">
        <v>100000</v>
      </c>
      <c r="I15" s="17">
        <v>100000</v>
      </c>
      <c r="J15" s="17">
        <v>100000</v>
      </c>
      <c r="L15" s="30">
        <v>3</v>
      </c>
      <c r="M15" s="26"/>
      <c r="O15" s="6"/>
      <c r="P15" s="6"/>
      <c r="Q15" s="6"/>
      <c r="R15" s="6"/>
      <c r="S15" s="6"/>
      <c r="T15" s="6"/>
      <c r="U15" s="6"/>
      <c r="V15" s="6"/>
      <c r="W15" s="6"/>
      <c r="X15" s="6"/>
    </row>
    <row r="16" spans="2:24" ht="16.2" thickBot="1">
      <c r="B16" s="27" t="s">
        <v>44</v>
      </c>
      <c r="E16" s="28">
        <f>H133</f>
        <v>0</v>
      </c>
      <c r="G16" s="29" t="s">
        <v>45</v>
      </c>
      <c r="H16" s="17">
        <v>100000</v>
      </c>
      <c r="I16" s="17">
        <v>100000</v>
      </c>
      <c r="J16" s="17">
        <v>100000</v>
      </c>
      <c r="M16" s="23"/>
      <c r="O16" s="6"/>
      <c r="P16" s="6"/>
      <c r="Q16" s="6"/>
      <c r="R16" s="6"/>
      <c r="S16" s="6"/>
      <c r="T16" s="6"/>
      <c r="U16" s="6"/>
      <c r="V16" s="6"/>
      <c r="W16" s="6"/>
      <c r="X16" s="6"/>
    </row>
    <row r="17" spans="2:24">
      <c r="B17" s="27" t="s">
        <v>46</v>
      </c>
      <c r="E17" s="31">
        <v>0</v>
      </c>
      <c r="G17" s="29" t="s">
        <v>47</v>
      </c>
      <c r="H17" s="17">
        <v>100000</v>
      </c>
      <c r="I17" s="17">
        <v>100000</v>
      </c>
      <c r="J17" s="17">
        <v>100000</v>
      </c>
      <c r="K17" s="32"/>
      <c r="L17" s="33" t="s">
        <v>48</v>
      </c>
      <c r="M17" s="34" t="s">
        <v>49</v>
      </c>
      <c r="O17" s="6"/>
      <c r="P17" s="6"/>
      <c r="Q17" s="6"/>
      <c r="R17" s="6"/>
      <c r="S17" s="6"/>
      <c r="T17" s="6"/>
      <c r="U17" s="6"/>
      <c r="V17" s="6"/>
      <c r="W17" s="6"/>
      <c r="X17" s="6"/>
    </row>
    <row r="18" spans="2:24" ht="16.2" thickBot="1">
      <c r="B18" s="27" t="s">
        <v>50</v>
      </c>
      <c r="E18" s="31">
        <v>0</v>
      </c>
      <c r="G18" s="29" t="s">
        <v>51</v>
      </c>
      <c r="H18" s="17">
        <v>100000</v>
      </c>
      <c r="I18" s="17">
        <v>100000</v>
      </c>
      <c r="J18" s="17">
        <v>100000</v>
      </c>
      <c r="K18" s="35" t="s">
        <v>52</v>
      </c>
      <c r="L18" s="179">
        <f>NPV(M9,F101:M101)+E101</f>
        <v>57253.661288809919</v>
      </c>
      <c r="M18" s="180">
        <f>IRR(E101:M101,M9)</f>
        <v>0.22852246003161114</v>
      </c>
      <c r="O18" s="6"/>
      <c r="P18" s="6"/>
      <c r="Q18" s="6"/>
      <c r="R18" s="6"/>
      <c r="S18" s="6"/>
      <c r="T18" s="6"/>
      <c r="U18" s="6"/>
      <c r="V18" s="6"/>
      <c r="W18" s="6"/>
      <c r="X18" s="6"/>
    </row>
    <row r="19" spans="2:24">
      <c r="B19" s="27" t="s">
        <v>53</v>
      </c>
      <c r="E19" s="31">
        <v>0</v>
      </c>
      <c r="G19" s="29" t="s">
        <v>54</v>
      </c>
      <c r="H19" s="17">
        <v>100000</v>
      </c>
      <c r="I19" s="17">
        <v>100000</v>
      </c>
      <c r="J19" s="17">
        <v>100000</v>
      </c>
      <c r="O19" s="6"/>
      <c r="P19" s="6"/>
      <c r="Q19" s="6"/>
      <c r="R19" s="6"/>
      <c r="S19" s="6"/>
      <c r="T19" s="6"/>
      <c r="U19" s="6"/>
      <c r="V19" s="6"/>
      <c r="W19" s="6"/>
      <c r="X19" s="6"/>
    </row>
    <row r="20" spans="2:24">
      <c r="B20" s="9" t="s">
        <v>55</v>
      </c>
      <c r="E20" s="36">
        <f>Equity_Value-E15+E16+E17+E18+E19</f>
        <v>174201</v>
      </c>
      <c r="G20" s="37" t="s">
        <v>56</v>
      </c>
      <c r="H20" s="38"/>
      <c r="I20" s="38"/>
      <c r="J20" s="39">
        <f>SUM(J15:J19)</f>
        <v>500000</v>
      </c>
      <c r="O20" s="6"/>
      <c r="P20" s="6"/>
      <c r="Q20" s="6"/>
      <c r="R20" s="6"/>
      <c r="S20" s="6"/>
      <c r="T20" s="6"/>
      <c r="U20" s="6"/>
      <c r="V20" s="6"/>
      <c r="W20" s="6"/>
      <c r="X20" s="6"/>
    </row>
    <row r="21" spans="2:24">
      <c r="B21" s="7"/>
      <c r="M21" s="23"/>
      <c r="O21" s="6"/>
      <c r="P21" s="6"/>
      <c r="Q21" s="6"/>
      <c r="R21" s="6"/>
      <c r="S21" s="6"/>
      <c r="T21" s="6"/>
      <c r="U21" s="6"/>
      <c r="V21" s="6"/>
      <c r="W21" s="6"/>
      <c r="X21" s="6"/>
    </row>
    <row r="22" spans="2:24">
      <c r="B22" s="7"/>
      <c r="F22" s="40" t="s">
        <v>57</v>
      </c>
      <c r="G22" s="41"/>
      <c r="H22" s="42"/>
      <c r="I22" s="43" t="s">
        <v>58</v>
      </c>
      <c r="J22" s="43"/>
      <c r="K22" s="43"/>
      <c r="L22" s="43"/>
      <c r="M22" s="44"/>
      <c r="O22" s="6"/>
      <c r="P22" s="6"/>
      <c r="Q22" s="6"/>
      <c r="R22" s="6"/>
      <c r="S22" s="6"/>
      <c r="T22" s="6"/>
      <c r="U22" s="6"/>
      <c r="V22" s="6"/>
      <c r="W22" s="6"/>
      <c r="X22" s="6"/>
    </row>
    <row r="23" spans="2:24">
      <c r="B23" s="7"/>
      <c r="F23" s="45">
        <f>G23-1</f>
        <v>2015</v>
      </c>
      <c r="G23" s="45">
        <f>H23-1</f>
        <v>2016</v>
      </c>
      <c r="H23" s="46">
        <f>Hist_Year</f>
        <v>2017</v>
      </c>
      <c r="I23" s="45">
        <f>H23+1</f>
        <v>2018</v>
      </c>
      <c r="J23" s="45">
        <f>I23+1</f>
        <v>2019</v>
      </c>
      <c r="K23" s="45">
        <f>J23+1</f>
        <v>2020</v>
      </c>
      <c r="L23" s="45">
        <f>K23+1</f>
        <v>2021</v>
      </c>
      <c r="M23" s="46">
        <f>L23+1</f>
        <v>2022</v>
      </c>
      <c r="O23" s="6"/>
      <c r="P23" s="6"/>
      <c r="Q23" s="6"/>
      <c r="R23" s="6"/>
      <c r="S23" s="6"/>
      <c r="T23" s="6"/>
      <c r="U23" s="6"/>
      <c r="V23" s="6"/>
      <c r="W23" s="6"/>
      <c r="X23" s="6"/>
    </row>
    <row r="24" spans="2:24" ht="16.2" thickBot="1">
      <c r="B24" s="7"/>
      <c r="F24" s="45" t="str">
        <f>"FY "&amp;Hist_Year-2</f>
        <v>FY 2015</v>
      </c>
      <c r="G24" s="45" t="str">
        <f>"FY "&amp;Hist_Year-1</f>
        <v>FY 2016</v>
      </c>
      <c r="H24" s="46" t="str">
        <f>"FY "&amp;Hist_Year</f>
        <v>FY 2017</v>
      </c>
      <c r="I24" s="45" t="str">
        <f>"FY "&amp;Hist_Year+1&amp;"E"</f>
        <v>FY 2018E</v>
      </c>
      <c r="J24" s="45" t="str">
        <f>"FY "&amp;Hist_Year+2&amp;"E"</f>
        <v>FY 2019E</v>
      </c>
      <c r="K24" s="45" t="str">
        <f>"FY "&amp;Hist_Year+3&amp;"E"</f>
        <v>FY 2020E</v>
      </c>
      <c r="L24" s="45" t="str">
        <f>"FY "&amp;Hist_Year+4&amp;"E"</f>
        <v>FY 2021E</v>
      </c>
      <c r="M24" s="46" t="str">
        <f>"FY "&amp;Hist_Year+5&amp;"E"</f>
        <v>FY 2022E</v>
      </c>
      <c r="O24" s="6"/>
      <c r="P24" s="6"/>
      <c r="Q24" s="6"/>
      <c r="R24" s="6"/>
      <c r="S24" s="6"/>
      <c r="T24" s="6"/>
      <c r="U24" s="6"/>
      <c r="V24" s="6"/>
      <c r="W24" s="6"/>
      <c r="X24" s="6"/>
    </row>
    <row r="25" spans="2:24">
      <c r="B25" s="7"/>
      <c r="F25" s="47"/>
      <c r="G25" s="47"/>
      <c r="H25" s="47"/>
      <c r="I25" s="47"/>
      <c r="J25" s="47"/>
      <c r="K25" s="47"/>
      <c r="L25" s="47"/>
      <c r="M25" s="48"/>
      <c r="O25" s="6"/>
      <c r="P25" s="189" t="s">
        <v>3</v>
      </c>
      <c r="Q25" s="190"/>
      <c r="R25" s="49" t="s">
        <v>5</v>
      </c>
      <c r="S25" s="49" t="s">
        <v>6</v>
      </c>
      <c r="T25" s="49" t="s">
        <v>7</v>
      </c>
      <c r="U25" s="50" t="s">
        <v>8</v>
      </c>
      <c r="V25" s="6"/>
      <c r="W25" s="6"/>
      <c r="X25" s="6"/>
    </row>
    <row r="26" spans="2:24">
      <c r="B26" s="9" t="s">
        <v>59</v>
      </c>
      <c r="F26" s="51">
        <f t="shared" ref="F26:M26" si="0">Enterprise_Value/F75</f>
        <v>6.9960240963855425</v>
      </c>
      <c r="G26" s="51">
        <f t="shared" si="0"/>
        <v>4.6084920634920632</v>
      </c>
      <c r="H26" s="51">
        <f t="shared" si="0"/>
        <v>4.0511860465116278</v>
      </c>
      <c r="I26" s="51">
        <f t="shared" si="0"/>
        <v>3.375988372093023</v>
      </c>
      <c r="J26" s="51">
        <f t="shared" si="0"/>
        <v>2.7900730347876226</v>
      </c>
      <c r="K26" s="51">
        <f t="shared" si="0"/>
        <v>2.2869451104816578</v>
      </c>
      <c r="L26" s="51">
        <f t="shared" si="0"/>
        <v>1.9057875920680485</v>
      </c>
      <c r="M26" s="52">
        <f t="shared" si="0"/>
        <v>1.5621209771049578</v>
      </c>
      <c r="O26" s="6"/>
      <c r="P26" s="53" t="s">
        <v>9</v>
      </c>
      <c r="Q26" s="55">
        <v>0.1</v>
      </c>
      <c r="R26" s="55">
        <v>0.11</v>
      </c>
      <c r="S26" s="55">
        <v>0.12</v>
      </c>
      <c r="T26" s="55">
        <v>0.1</v>
      </c>
      <c r="U26" s="56">
        <v>0.13</v>
      </c>
      <c r="V26" s="6"/>
      <c r="W26" s="6"/>
      <c r="X26" s="6"/>
    </row>
    <row r="27" spans="2:24">
      <c r="B27" s="9" t="s">
        <v>60</v>
      </c>
      <c r="F27" s="51">
        <f t="shared" ref="F27:M28" si="1">Enterprise_Value/F99</f>
        <v>35.043452021726011</v>
      </c>
      <c r="G27" s="51">
        <f t="shared" si="1"/>
        <v>19.034200174825173</v>
      </c>
      <c r="H27" s="51">
        <f t="shared" si="1"/>
        <v>13.886090075727381</v>
      </c>
      <c r="I27" s="51">
        <f t="shared" si="1"/>
        <v>7.9034263107271832</v>
      </c>
      <c r="J27" s="51">
        <f t="shared" si="1"/>
        <v>6.4976138004645749</v>
      </c>
      <c r="K27" s="51">
        <f t="shared" si="1"/>
        <v>5.2565880962456486</v>
      </c>
      <c r="L27" s="51">
        <f t="shared" si="1"/>
        <v>4.3631865953366757</v>
      </c>
      <c r="M27" s="52">
        <f t="shared" si="1"/>
        <v>3.5338860767896616</v>
      </c>
      <c r="O27" s="6"/>
      <c r="P27" s="53" t="s">
        <v>10</v>
      </c>
      <c r="Q27" s="55">
        <v>0.505</v>
      </c>
      <c r="R27" s="55">
        <v>0.51250000000000007</v>
      </c>
      <c r="S27" s="55">
        <v>0.52</v>
      </c>
      <c r="T27" s="55">
        <v>0.52750000000000008</v>
      </c>
      <c r="U27" s="56">
        <v>0.53500000000000003</v>
      </c>
      <c r="V27" s="6"/>
      <c r="W27" s="6"/>
      <c r="X27" s="6"/>
    </row>
    <row r="28" spans="2:24">
      <c r="B28" s="9" t="s">
        <v>61</v>
      </c>
      <c r="F28" s="51">
        <f t="shared" si="1"/>
        <v>32.88052095130238</v>
      </c>
      <c r="G28" s="51">
        <f t="shared" si="1"/>
        <v>18.055659203980099</v>
      </c>
      <c r="H28" s="51">
        <f t="shared" si="1"/>
        <v>13.118533022064915</v>
      </c>
      <c r="I28" s="51">
        <f t="shared" si="1"/>
        <v>7.5864907238045465</v>
      </c>
      <c r="J28" s="51">
        <f t="shared" si="1"/>
        <v>6.2409082812436649</v>
      </c>
      <c r="K28" s="51">
        <f t="shared" si="1"/>
        <v>5.0540223436058751</v>
      </c>
      <c r="L28" s="51">
        <f t="shared" si="1"/>
        <v>4.1977700265816047</v>
      </c>
      <c r="M28" s="52">
        <f t="shared" si="1"/>
        <v>3.4018313961344893</v>
      </c>
      <c r="O28" s="6"/>
      <c r="P28" s="53" t="s">
        <v>11</v>
      </c>
      <c r="Q28" s="55">
        <v>0.02</v>
      </c>
      <c r="R28" s="55">
        <v>1.9310077519379847E-2</v>
      </c>
      <c r="S28" s="55">
        <v>1.9099999999999999E-2</v>
      </c>
      <c r="T28" s="55">
        <v>1.9E-2</v>
      </c>
      <c r="U28" s="56">
        <v>1.89E-2</v>
      </c>
      <c r="V28" s="6"/>
      <c r="W28" s="6"/>
      <c r="X28" s="6"/>
    </row>
    <row r="29" spans="2:24" ht="16.2" thickBot="1">
      <c r="B29" s="7"/>
      <c r="M29" s="23"/>
      <c r="O29" s="6"/>
      <c r="P29" s="57" t="s">
        <v>12</v>
      </c>
      <c r="Q29" s="59">
        <v>0.08</v>
      </c>
      <c r="R29" s="59">
        <v>8.2937984496124037E-2</v>
      </c>
      <c r="S29" s="59">
        <v>8.3000000000000004E-2</v>
      </c>
      <c r="T29" s="59">
        <v>8.3500000000000005E-2</v>
      </c>
      <c r="U29" s="60">
        <v>8.3799999999999999E-2</v>
      </c>
      <c r="V29" s="6"/>
      <c r="W29" s="6"/>
      <c r="X29" s="6"/>
    </row>
    <row r="30" spans="2:24" ht="16.2" thickBot="1">
      <c r="B30" s="9" t="s">
        <v>62</v>
      </c>
      <c r="F30" s="51">
        <f t="shared" ref="F30:M30" si="2">Equity_Value/F101</f>
        <v>41.526596796519677</v>
      </c>
      <c r="G30" s="51">
        <f t="shared" si="2"/>
        <v>23.82573179033356</v>
      </c>
      <c r="H30" s="51">
        <f t="shared" si="2"/>
        <v>20.180665000960985</v>
      </c>
      <c r="I30" s="51">
        <f t="shared" si="2"/>
        <v>13.707805017046955</v>
      </c>
      <c r="J30" s="51">
        <f t="shared" si="2"/>
        <v>11.508507283893191</v>
      </c>
      <c r="K30" s="51">
        <f t="shared" si="2"/>
        <v>8.8557250325192456</v>
      </c>
      <c r="L30" s="51">
        <f t="shared" si="2"/>
        <v>7.1616606268769827</v>
      </c>
      <c r="M30" s="52">
        <f t="shared" si="2"/>
        <v>5.5098707598523804</v>
      </c>
      <c r="O30" s="6"/>
      <c r="P30" s="6"/>
      <c r="Q30" s="6"/>
      <c r="R30" s="6"/>
      <c r="S30" s="6"/>
      <c r="T30" s="6"/>
      <c r="U30" s="177"/>
      <c r="V30" s="6"/>
      <c r="W30" s="6"/>
      <c r="X30" s="6"/>
    </row>
    <row r="31" spans="2:24">
      <c r="B31" s="9" t="s">
        <v>63</v>
      </c>
      <c r="F31" s="51">
        <f t="shared" ref="F31:M31" si="3">Share_Price/F96</f>
        <v>32.6174692166623</v>
      </c>
      <c r="G31" s="51">
        <f t="shared" si="3"/>
        <v>19.648329184816429</v>
      </c>
      <c r="H31" s="51">
        <f t="shared" si="3"/>
        <v>15.243781512605043</v>
      </c>
      <c r="I31" s="51">
        <f t="shared" si="3"/>
        <v>8.5274811482722672</v>
      </c>
      <c r="J31" s="51">
        <f t="shared" si="3"/>
        <v>7.9975850985519195</v>
      </c>
      <c r="K31" s="51">
        <f t="shared" si="3"/>
        <v>6.0294968938738212</v>
      </c>
      <c r="L31" s="51">
        <f t="shared" si="3"/>
        <v>4.8546521603316322</v>
      </c>
      <c r="M31" s="52">
        <f t="shared" si="3"/>
        <v>3.7193192952817706</v>
      </c>
      <c r="O31" s="6"/>
      <c r="P31" s="189" t="s">
        <v>13</v>
      </c>
      <c r="Q31" s="190"/>
      <c r="R31" s="49" t="s">
        <v>5</v>
      </c>
      <c r="S31" s="49" t="s">
        <v>6</v>
      </c>
      <c r="T31" s="49" t="s">
        <v>7</v>
      </c>
      <c r="U31" s="50" t="s">
        <v>8</v>
      </c>
      <c r="V31" s="6"/>
      <c r="W31" s="6"/>
      <c r="X31" s="6"/>
    </row>
    <row r="32" spans="2:24">
      <c r="B32" s="61" t="s">
        <v>64</v>
      </c>
      <c r="C32" s="62"/>
      <c r="D32" s="62"/>
      <c r="E32" s="62"/>
      <c r="F32" s="63"/>
      <c r="G32" s="63">
        <f t="shared" ref="G32:M32" si="4">Share_Price/G102</f>
        <v>5.7112896807452289</v>
      </c>
      <c r="H32" s="63">
        <f t="shared" si="4"/>
        <v>3.9996440720675315</v>
      </c>
      <c r="I32" s="63">
        <f t="shared" si="4"/>
        <v>2.6715476930160649</v>
      </c>
      <c r="J32" s="63">
        <f t="shared" si="4"/>
        <v>1.9694239024573135</v>
      </c>
      <c r="K32" s="63">
        <f t="shared" si="4"/>
        <v>1.4625456216892061</v>
      </c>
      <c r="L32" s="63">
        <f t="shared" si="4"/>
        <v>1.1089972246210416</v>
      </c>
      <c r="M32" s="64">
        <f t="shared" si="4"/>
        <v>0.84376697628948416</v>
      </c>
      <c r="O32" s="6"/>
      <c r="P32" s="53" t="s">
        <v>9</v>
      </c>
      <c r="Q32" s="55">
        <v>0.15</v>
      </c>
      <c r="R32" s="55">
        <v>0.16</v>
      </c>
      <c r="S32" s="55">
        <v>0.17</v>
      </c>
      <c r="T32" s="55">
        <v>0.15</v>
      </c>
      <c r="U32" s="56">
        <v>0.17</v>
      </c>
      <c r="V32" s="6"/>
      <c r="W32" s="6"/>
      <c r="X32" s="6"/>
    </row>
    <row r="33" spans="2:24">
      <c r="O33" s="6"/>
      <c r="P33" s="53" t="s">
        <v>10</v>
      </c>
      <c r="Q33" s="55">
        <v>0.48</v>
      </c>
      <c r="R33" s="55">
        <v>0.48499999999999999</v>
      </c>
      <c r="S33" s="55">
        <v>0.47499999999999998</v>
      </c>
      <c r="T33" s="55">
        <v>0.47</v>
      </c>
      <c r="U33" s="56">
        <v>0.46500000000000002</v>
      </c>
      <c r="V33" s="6"/>
      <c r="W33" s="6"/>
      <c r="X33" s="6"/>
    </row>
    <row r="34" spans="2:24">
      <c r="B34" s="2" t="s">
        <v>65</v>
      </c>
      <c r="C34" s="3"/>
      <c r="D34" s="3"/>
      <c r="E34" s="3"/>
      <c r="F34" s="3"/>
      <c r="G34" s="3"/>
      <c r="H34" s="4"/>
      <c r="I34" s="4"/>
      <c r="J34" s="4"/>
      <c r="K34" s="4"/>
      <c r="L34" s="4"/>
      <c r="M34" s="5"/>
      <c r="P34" s="53" t="s">
        <v>11</v>
      </c>
      <c r="Q34" s="55">
        <v>1.7500000000000002E-2</v>
      </c>
      <c r="R34" s="55">
        <v>1.7600000000000001E-2</v>
      </c>
      <c r="S34" s="55">
        <v>1.72E-2</v>
      </c>
      <c r="T34" s="55">
        <v>1.7299999999999999E-2</v>
      </c>
      <c r="U34" s="56">
        <v>1.7100000000000001E-2</v>
      </c>
    </row>
    <row r="35" spans="2:24" ht="16.2" thickBot="1">
      <c r="B35" s="7"/>
      <c r="M35" s="23"/>
      <c r="P35" s="57" t="s">
        <v>12</v>
      </c>
      <c r="Q35" s="59">
        <v>7.0000000000000007E-2</v>
      </c>
      <c r="R35" s="59">
        <v>7.0999999999999994E-2</v>
      </c>
      <c r="S35" s="59">
        <v>7.1499999999999994E-2</v>
      </c>
      <c r="T35" s="59">
        <v>7.1999999999999995E-2</v>
      </c>
      <c r="U35" s="60">
        <v>7.2499999999999995E-2</v>
      </c>
    </row>
    <row r="36" spans="2:24" ht="16.2" thickBot="1">
      <c r="B36" s="7"/>
      <c r="F36" s="40" t="str">
        <f>F22</f>
        <v>Historical</v>
      </c>
      <c r="G36" s="41"/>
      <c r="H36" s="42"/>
      <c r="I36" s="43" t="str">
        <f>I22</f>
        <v>Projections</v>
      </c>
      <c r="J36" s="43"/>
      <c r="K36" s="43"/>
      <c r="L36" s="43"/>
      <c r="M36" s="44"/>
      <c r="U36" s="85"/>
    </row>
    <row r="37" spans="2:24" ht="16.2" thickBot="1">
      <c r="B37" s="7"/>
      <c r="F37" s="45" t="str">
        <f>F24</f>
        <v>FY 2015</v>
      </c>
      <c r="G37" s="45" t="str">
        <f t="shared" ref="G37:M37" si="5">G24</f>
        <v>FY 2016</v>
      </c>
      <c r="H37" s="46" t="str">
        <f t="shared" si="5"/>
        <v>FY 2017</v>
      </c>
      <c r="I37" s="47" t="str">
        <f t="shared" si="5"/>
        <v>FY 2018E</v>
      </c>
      <c r="J37" s="47" t="str">
        <f t="shared" si="5"/>
        <v>FY 2019E</v>
      </c>
      <c r="K37" s="47" t="str">
        <f t="shared" si="5"/>
        <v>FY 2020E</v>
      </c>
      <c r="L37" s="47" t="str">
        <f t="shared" si="5"/>
        <v>FY 2021E</v>
      </c>
      <c r="M37" s="48" t="str">
        <f t="shared" si="5"/>
        <v>FY 2022E</v>
      </c>
      <c r="P37" s="189" t="s">
        <v>66</v>
      </c>
      <c r="Q37" s="190"/>
      <c r="R37" s="49" t="s">
        <v>5</v>
      </c>
      <c r="S37" s="49" t="s">
        <v>6</v>
      </c>
      <c r="T37" s="49" t="s">
        <v>7</v>
      </c>
      <c r="U37" s="50" t="s">
        <v>8</v>
      </c>
    </row>
    <row r="38" spans="2:24">
      <c r="B38" s="7" t="s">
        <v>67</v>
      </c>
      <c r="F38" s="47"/>
      <c r="G38" s="47"/>
      <c r="H38" s="47"/>
      <c r="I38" s="65">
        <v>0.03</v>
      </c>
      <c r="J38" s="66">
        <v>0.04</v>
      </c>
      <c r="K38" s="66">
        <v>0.04</v>
      </c>
      <c r="L38" s="66">
        <v>0.02</v>
      </c>
      <c r="M38" s="67">
        <v>-0.03</v>
      </c>
      <c r="P38" s="53" t="s">
        <v>9</v>
      </c>
      <c r="Q38" s="55">
        <v>0.2</v>
      </c>
      <c r="R38" s="55">
        <v>0.21</v>
      </c>
      <c r="S38" s="55">
        <v>0.22</v>
      </c>
      <c r="T38" s="55">
        <v>0.2</v>
      </c>
      <c r="U38" s="56">
        <v>0.22</v>
      </c>
    </row>
    <row r="39" spans="2:24">
      <c r="B39" s="7" t="s">
        <v>68</v>
      </c>
      <c r="F39" s="47"/>
      <c r="G39" s="47"/>
      <c r="H39" s="47"/>
      <c r="I39" s="68">
        <v>0.01</v>
      </c>
      <c r="J39" s="69">
        <v>0.01</v>
      </c>
      <c r="K39" s="69">
        <v>0.03</v>
      </c>
      <c r="L39" s="69">
        <v>0</v>
      </c>
      <c r="M39" s="70">
        <v>-0.02</v>
      </c>
      <c r="P39" s="53" t="s">
        <v>10</v>
      </c>
      <c r="Q39" s="55">
        <v>0.46</v>
      </c>
      <c r="R39" s="55">
        <v>0.45500000000000002</v>
      </c>
      <c r="S39" s="55">
        <v>0.45200000000000001</v>
      </c>
      <c r="T39" s="55">
        <v>0.45</v>
      </c>
      <c r="U39" s="56">
        <v>0.44500000000000001</v>
      </c>
    </row>
    <row r="40" spans="2:24">
      <c r="B40" s="7" t="s">
        <v>69</v>
      </c>
      <c r="I40" s="68">
        <v>0.06</v>
      </c>
      <c r="J40" s="71">
        <v>0.05</v>
      </c>
      <c r="K40" s="71">
        <v>0.03</v>
      </c>
      <c r="L40" s="71">
        <v>0.02</v>
      </c>
      <c r="M40" s="72">
        <v>0.02</v>
      </c>
      <c r="P40" s="53" t="s">
        <v>11</v>
      </c>
      <c r="Q40" s="55">
        <v>1.4999999999999999E-2</v>
      </c>
      <c r="R40" s="55">
        <v>1.4999999999999999E-2</v>
      </c>
      <c r="S40" s="55">
        <v>1.2500000000000001E-2</v>
      </c>
      <c r="T40" s="55">
        <v>1.2500000000000001E-2</v>
      </c>
      <c r="U40" s="56">
        <v>1.2E-2</v>
      </c>
    </row>
    <row r="41" spans="2:24" ht="16.2" thickBot="1">
      <c r="B41" s="7" t="s">
        <v>70</v>
      </c>
      <c r="I41" s="73">
        <f>((1+I38)*(1+I39)*(1+I40))-1</f>
        <v>0.10271800000000009</v>
      </c>
      <c r="J41" s="71">
        <f>((1+J38)*(1+J39)*(1+J40))-1</f>
        <v>0.10292000000000012</v>
      </c>
      <c r="K41" s="71">
        <f>((1+K38)*(1+K39)*(1+K40))-1</f>
        <v>0.10333600000000009</v>
      </c>
      <c r="L41" s="71">
        <f>((1+L38)*(1+L39)*(1+L40))-1</f>
        <v>4.0399999999999991E-2</v>
      </c>
      <c r="M41" s="72">
        <f>((1+M38)*(1+M39)*(1+M40))-1</f>
        <v>-3.0387999999999971E-2</v>
      </c>
      <c r="P41" s="57" t="s">
        <v>12</v>
      </c>
      <c r="Q41" s="59">
        <v>0.06</v>
      </c>
      <c r="R41" s="59">
        <v>6.0999999999999999E-2</v>
      </c>
      <c r="S41" s="59">
        <v>6.1499999999999999E-2</v>
      </c>
      <c r="T41" s="59">
        <v>5.8999999999999997E-2</v>
      </c>
      <c r="U41" s="60">
        <v>5.8999999999999997E-2</v>
      </c>
    </row>
    <row r="42" spans="2:24">
      <c r="B42" s="7"/>
      <c r="I42" s="73"/>
      <c r="J42" s="71"/>
      <c r="K42" s="71"/>
      <c r="L42" s="71"/>
      <c r="M42" s="72"/>
    </row>
    <row r="43" spans="2:24">
      <c r="B43" s="7" t="s">
        <v>71</v>
      </c>
      <c r="I43" s="73">
        <v>0.02</v>
      </c>
      <c r="J43" s="71">
        <v>0.03</v>
      </c>
      <c r="K43" s="71">
        <v>0.04</v>
      </c>
      <c r="L43" s="71">
        <v>0.05</v>
      </c>
      <c r="M43" s="72">
        <v>-0.08</v>
      </c>
    </row>
    <row r="44" spans="2:24">
      <c r="B44" s="7" t="s">
        <v>72</v>
      </c>
      <c r="I44" s="73">
        <v>0.01</v>
      </c>
      <c r="J44" s="71">
        <v>0.01</v>
      </c>
      <c r="K44" s="71">
        <v>5.0000000000000001E-3</v>
      </c>
      <c r="L44" s="71">
        <v>0</v>
      </c>
      <c r="M44" s="72">
        <v>-0.01</v>
      </c>
    </row>
    <row r="45" spans="2:24">
      <c r="B45" s="7" t="s">
        <v>73</v>
      </c>
      <c r="I45" s="73">
        <v>0.02</v>
      </c>
      <c r="J45" s="71">
        <v>0.03</v>
      </c>
      <c r="K45" s="71">
        <v>0.05</v>
      </c>
      <c r="L45" s="71">
        <v>0.03</v>
      </c>
      <c r="M45" s="72">
        <v>0.02</v>
      </c>
    </row>
    <row r="46" spans="2:24">
      <c r="B46" s="7" t="s">
        <v>74</v>
      </c>
      <c r="I46" s="73">
        <f>((1+I43)*(1+I44)*(1+I45))-1</f>
        <v>5.0804000000000071E-2</v>
      </c>
      <c r="J46" s="71">
        <f>((1+J43)*(1+J44)*(1+J45))-1</f>
        <v>7.1509000000000045E-2</v>
      </c>
      <c r="K46" s="71">
        <f>((1+K43)*(1+K44)*(1+K45))-1</f>
        <v>9.745999999999988E-2</v>
      </c>
      <c r="L46" s="71">
        <f>((1+L43)*(1+L44)*(1+L45))-1</f>
        <v>8.1500000000000128E-2</v>
      </c>
      <c r="M46" s="72">
        <f>((1+M43)*(1+M44)*(1+M45))-1</f>
        <v>-7.0983999999999936E-2</v>
      </c>
    </row>
    <row r="47" spans="2:24" ht="16.2" thickBot="1">
      <c r="B47" s="7"/>
      <c r="I47" s="73"/>
      <c r="J47" s="71"/>
      <c r="K47" s="71"/>
      <c r="L47" s="71"/>
      <c r="M47" s="72"/>
    </row>
    <row r="48" spans="2:24" ht="24" thickBot="1">
      <c r="B48" s="7" t="s">
        <v>9</v>
      </c>
      <c r="F48" s="74">
        <f>F75/19315-1</f>
        <v>0.2891535076365519</v>
      </c>
      <c r="G48" s="74">
        <f>G75/F75-1</f>
        <v>0.51807228915662651</v>
      </c>
      <c r="H48" s="74">
        <f>H75/G75-1</f>
        <v>0.13756613756613767</v>
      </c>
      <c r="I48" s="75">
        <f>IF($L$15=1,Q26,IF($L$15=2,Q32,IF($L$15=3,Q38,"")))</f>
        <v>0.2</v>
      </c>
      <c r="J48" s="75">
        <f t="shared" ref="J48:M48" si="6">IF($L$15=1,R26,IF($L$15=2,R32,IF($L$15=3,R38,"")))</f>
        <v>0.21</v>
      </c>
      <c r="K48" s="75">
        <f t="shared" si="6"/>
        <v>0.22</v>
      </c>
      <c r="L48" s="75">
        <f t="shared" si="6"/>
        <v>0.2</v>
      </c>
      <c r="M48" s="75">
        <f t="shared" si="6"/>
        <v>0.22</v>
      </c>
    </row>
    <row r="49" spans="2:13" ht="24" thickBot="1">
      <c r="B49" s="7" t="s">
        <v>10</v>
      </c>
      <c r="F49" s="74">
        <f>F76/F75</f>
        <v>0.65389558232931722</v>
      </c>
      <c r="G49" s="74">
        <f>G76/G75</f>
        <v>0.63620811287477952</v>
      </c>
      <c r="H49" s="74">
        <f>H76/H75</f>
        <v>0.588937984496124</v>
      </c>
      <c r="I49" s="75">
        <f t="shared" ref="I49:M49" si="7">IF($L$15=1,Q27,IF($L$15=2,Q33,IF($L$15=3,Q39,"")))</f>
        <v>0.46</v>
      </c>
      <c r="J49" s="75">
        <f t="shared" si="7"/>
        <v>0.45500000000000002</v>
      </c>
      <c r="K49" s="75">
        <f t="shared" si="7"/>
        <v>0.45200000000000001</v>
      </c>
      <c r="L49" s="75">
        <f t="shared" si="7"/>
        <v>0.45</v>
      </c>
      <c r="M49" s="75">
        <f t="shared" si="7"/>
        <v>0.44500000000000001</v>
      </c>
    </row>
    <row r="50" spans="2:13" ht="24" thickBot="1">
      <c r="B50" s="7" t="s">
        <v>11</v>
      </c>
      <c r="F50" s="74">
        <f>F79/F75</f>
        <v>2.3935742971887549E-2</v>
      </c>
      <c r="G50" s="74">
        <f>G79/G75</f>
        <v>2.0070546737213403E-2</v>
      </c>
      <c r="H50" s="74">
        <f>H79/H75</f>
        <v>1.9310077519379847E-2</v>
      </c>
      <c r="I50" s="75">
        <f t="shared" ref="I50:M50" si="8">IF($L$15=1,Q28,IF($L$15=2,Q34,IF($L$15=3,Q40,"")))</f>
        <v>1.4999999999999999E-2</v>
      </c>
      <c r="J50" s="75">
        <f t="shared" si="8"/>
        <v>1.4999999999999999E-2</v>
      </c>
      <c r="K50" s="75">
        <f t="shared" si="8"/>
        <v>1.2500000000000001E-2</v>
      </c>
      <c r="L50" s="75">
        <f t="shared" si="8"/>
        <v>1.2500000000000001E-2</v>
      </c>
      <c r="M50" s="75">
        <f t="shared" si="8"/>
        <v>1.2E-2</v>
      </c>
    </row>
    <row r="51" spans="2:13" ht="23.4">
      <c r="B51" s="7" t="s">
        <v>12</v>
      </c>
      <c r="F51" s="74">
        <f>F80/F75</f>
        <v>0.10939759036144578</v>
      </c>
      <c r="G51" s="74">
        <f>G80/G75</f>
        <v>8.8483245149911807E-2</v>
      </c>
      <c r="H51" s="74">
        <f>H80/H75</f>
        <v>8.2937984496124037E-2</v>
      </c>
      <c r="I51" s="75">
        <f t="shared" ref="I51:M51" si="9">IF($L$15,Q29,"")</f>
        <v>0.08</v>
      </c>
      <c r="J51" s="75">
        <f t="shared" si="9"/>
        <v>8.2937984496124037E-2</v>
      </c>
      <c r="K51" s="75">
        <f t="shared" si="9"/>
        <v>8.3000000000000004E-2</v>
      </c>
      <c r="L51" s="75">
        <f t="shared" si="9"/>
        <v>8.3500000000000005E-2</v>
      </c>
      <c r="M51" s="75">
        <f t="shared" si="9"/>
        <v>8.3799999999999999E-2</v>
      </c>
    </row>
    <row r="52" spans="2:13">
      <c r="B52" s="7"/>
      <c r="F52" s="74"/>
      <c r="G52" s="74"/>
      <c r="H52" s="74"/>
      <c r="I52" s="76"/>
      <c r="J52" s="74"/>
      <c r="K52" s="74"/>
      <c r="L52" s="74"/>
      <c r="M52" s="77"/>
    </row>
    <row r="53" spans="2:13">
      <c r="B53" s="7" t="s">
        <v>75</v>
      </c>
      <c r="F53" s="74">
        <f>F85/F75</f>
        <v>9.7188755020080324E-3</v>
      </c>
      <c r="G53" s="74">
        <f>G85/G75</f>
        <v>1.3650793650793651E-2</v>
      </c>
      <c r="H53" s="74">
        <f>H85/H75</f>
        <v>1.6511627906976745E-2</v>
      </c>
      <c r="I53" s="76">
        <f t="shared" ref="I53:M54" si="10">H53</f>
        <v>1.6511627906976745E-2</v>
      </c>
      <c r="J53" s="74">
        <f t="shared" si="10"/>
        <v>1.6511627906976745E-2</v>
      </c>
      <c r="K53" s="74">
        <f t="shared" si="10"/>
        <v>1.6511627906976745E-2</v>
      </c>
      <c r="L53" s="74">
        <f t="shared" si="10"/>
        <v>1.6511627906976745E-2</v>
      </c>
      <c r="M53" s="77">
        <f t="shared" si="10"/>
        <v>1.6511627906976745E-2</v>
      </c>
    </row>
    <row r="54" spans="2:13">
      <c r="B54" s="7" t="s">
        <v>76</v>
      </c>
      <c r="F54" s="74">
        <f>F83/F75</f>
        <v>1.3132530120481928E-2</v>
      </c>
      <c r="G54" s="74">
        <f>G83/G75</f>
        <v>1.3121693121693121E-2</v>
      </c>
      <c r="H54" s="74">
        <f>H83/H75</f>
        <v>1.7069767441860464E-2</v>
      </c>
      <c r="I54" s="76">
        <f t="shared" si="10"/>
        <v>1.7069767441860464E-2</v>
      </c>
      <c r="J54" s="74">
        <f t="shared" si="10"/>
        <v>1.7069767441860464E-2</v>
      </c>
      <c r="K54" s="74">
        <f t="shared" si="10"/>
        <v>1.7069767441860464E-2</v>
      </c>
      <c r="L54" s="74">
        <f t="shared" si="10"/>
        <v>1.7069767441860464E-2</v>
      </c>
      <c r="M54" s="77">
        <f t="shared" si="10"/>
        <v>1.7069767441860464E-2</v>
      </c>
    </row>
    <row r="55" spans="2:13">
      <c r="B55" s="7" t="s">
        <v>77</v>
      </c>
      <c r="F55" s="78">
        <v>5.2699999999999997E-2</v>
      </c>
      <c r="G55" s="78">
        <v>3.44E-2</v>
      </c>
      <c r="H55" s="78">
        <v>1.43E-2</v>
      </c>
      <c r="I55" s="79">
        <v>0.01</v>
      </c>
      <c r="J55" s="78">
        <v>0.01</v>
      </c>
      <c r="K55" s="78">
        <v>0.02</v>
      </c>
      <c r="L55" s="78">
        <v>0.02</v>
      </c>
      <c r="M55" s="80">
        <v>0.03</v>
      </c>
    </row>
    <row r="56" spans="2:13">
      <c r="B56" s="7" t="s">
        <v>78</v>
      </c>
      <c r="F56" s="78">
        <v>0</v>
      </c>
      <c r="G56" s="78">
        <v>0</v>
      </c>
      <c r="H56" s="78">
        <v>0</v>
      </c>
      <c r="I56" s="79">
        <f>M9</f>
        <v>0.06</v>
      </c>
      <c r="J56" s="74">
        <f>I56+$M$10</f>
        <v>6.5000000000000002E-2</v>
      </c>
      <c r="K56" s="74">
        <f>J56+$M$10</f>
        <v>7.0000000000000007E-2</v>
      </c>
      <c r="L56" s="74">
        <f>K56+$M$10</f>
        <v>7.5000000000000011E-2</v>
      </c>
      <c r="M56" s="81">
        <f>L56+$M$10</f>
        <v>8.0000000000000016E-2</v>
      </c>
    </row>
    <row r="57" spans="2:13">
      <c r="B57" s="7" t="s">
        <v>79</v>
      </c>
      <c r="F57" s="74">
        <f>F92/F91</f>
        <v>0.2835960960960961</v>
      </c>
      <c r="G57" s="74">
        <f>G92/G91</f>
        <v>0.3055315471045808</v>
      </c>
      <c r="H57" s="74">
        <f>H92/H91</f>
        <v>0.31502343557273249</v>
      </c>
      <c r="I57" s="82">
        <f>Tax_Rate</f>
        <v>0.2</v>
      </c>
      <c r="J57" s="83">
        <f>Tax_Rate</f>
        <v>0.2</v>
      </c>
      <c r="K57" s="83">
        <f>Tax_Rate</f>
        <v>0.2</v>
      </c>
      <c r="L57" s="83">
        <f>Tax_Rate</f>
        <v>0.2</v>
      </c>
      <c r="M57" s="81">
        <f>Tax_Rate</f>
        <v>0.2</v>
      </c>
    </row>
    <row r="58" spans="2:13">
      <c r="B58" s="7"/>
      <c r="I58" s="84"/>
      <c r="M58" s="85"/>
    </row>
    <row r="59" spans="2:13">
      <c r="B59" s="7" t="s">
        <v>80</v>
      </c>
      <c r="F59" s="74">
        <f>F110/F75</f>
        <v>0</v>
      </c>
      <c r="G59" s="74">
        <f>G110/G75</f>
        <v>6.4074074074074075E-2</v>
      </c>
      <c r="H59" s="74">
        <f>H110/H75</f>
        <v>7.8162790697674414E-2</v>
      </c>
      <c r="I59" s="86">
        <f>I60/Days_In_Year</f>
        <v>7.8162790697674414E-2</v>
      </c>
      <c r="J59" s="87">
        <f>J60/Days_In_Year</f>
        <v>7.8162790697674414E-2</v>
      </c>
      <c r="K59" s="87">
        <f>K60/Days_In_Year</f>
        <v>7.8162790697674414E-2</v>
      </c>
      <c r="L59" s="87">
        <f>L60/Days_In_Year</f>
        <v>7.8162790697674414E-2</v>
      </c>
      <c r="M59" s="88">
        <f>M60/Days_In_Year</f>
        <v>7.8162790697674414E-2</v>
      </c>
    </row>
    <row r="60" spans="2:13">
      <c r="B60" s="7" t="s">
        <v>81</v>
      </c>
      <c r="F60" s="74">
        <f t="shared" ref="F60:F67" si="11">F111/F76</f>
        <v>0</v>
      </c>
      <c r="G60" s="89">
        <f>G59*Days_In_Year</f>
        <v>23.066666666666666</v>
      </c>
      <c r="H60" s="89">
        <f>H59*Days_In_Year</f>
        <v>28.13860465116279</v>
      </c>
      <c r="I60" s="90">
        <f t="shared" ref="I60:M61" si="12">H60</f>
        <v>28.13860465116279</v>
      </c>
      <c r="J60" s="89">
        <f t="shared" si="12"/>
        <v>28.13860465116279</v>
      </c>
      <c r="K60" s="89">
        <f t="shared" si="12"/>
        <v>28.13860465116279</v>
      </c>
      <c r="L60" s="89">
        <f t="shared" si="12"/>
        <v>28.13860465116279</v>
      </c>
      <c r="M60" s="91">
        <f t="shared" si="12"/>
        <v>28.13860465116279</v>
      </c>
    </row>
    <row r="61" spans="2:13">
      <c r="B61" s="7" t="s">
        <v>82</v>
      </c>
      <c r="F61" s="74">
        <f t="shared" si="11"/>
        <v>0</v>
      </c>
      <c r="G61" s="74">
        <f>G111/G76</f>
        <v>2.1165414575998669E-2</v>
      </c>
      <c r="H61" s="74">
        <f>H111/H76</f>
        <v>1.7966909296723836E-2</v>
      </c>
      <c r="I61" s="76">
        <f t="shared" si="12"/>
        <v>1.7966909296723836E-2</v>
      </c>
      <c r="J61" s="74">
        <f t="shared" si="12"/>
        <v>1.7966909296723836E-2</v>
      </c>
      <c r="K61" s="74">
        <f t="shared" si="12"/>
        <v>1.7966909296723836E-2</v>
      </c>
      <c r="L61" s="74">
        <f t="shared" si="12"/>
        <v>1.7966909296723836E-2</v>
      </c>
      <c r="M61" s="77">
        <f t="shared" si="12"/>
        <v>1.7966909296723836E-2</v>
      </c>
    </row>
    <row r="62" spans="2:13">
      <c r="B62" s="7" t="s">
        <v>83</v>
      </c>
      <c r="F62" s="74"/>
      <c r="G62" s="31"/>
      <c r="H62" s="31"/>
      <c r="I62" s="92">
        <v>40</v>
      </c>
      <c r="J62" s="31">
        <v>37</v>
      </c>
      <c r="K62" s="31">
        <v>28</v>
      </c>
      <c r="L62" s="31">
        <v>13</v>
      </c>
      <c r="M62" s="93">
        <v>10</v>
      </c>
    </row>
    <row r="63" spans="2:13">
      <c r="B63" s="7"/>
      <c r="F63" s="74">
        <f t="shared" si="11"/>
        <v>0</v>
      </c>
      <c r="G63" s="94"/>
      <c r="H63" s="94"/>
      <c r="I63" s="95"/>
      <c r="J63" s="94"/>
      <c r="K63" s="94"/>
      <c r="L63" s="94"/>
      <c r="M63" s="96"/>
    </row>
    <row r="64" spans="2:13">
      <c r="B64" s="7" t="s">
        <v>84</v>
      </c>
      <c r="F64" s="74">
        <f t="shared" si="11"/>
        <v>0</v>
      </c>
      <c r="G64" s="74">
        <f>G126/G76</f>
        <v>0.22953455493028024</v>
      </c>
      <c r="H64" s="74">
        <f>H126/H76</f>
        <v>0.22117067905703344</v>
      </c>
      <c r="I64" s="86">
        <f>I65/Days_In_Year</f>
        <v>0.22117067905703341</v>
      </c>
      <c r="J64" s="87">
        <f>J65/Days_In_Year</f>
        <v>0.22117067905703341</v>
      </c>
      <c r="K64" s="87">
        <f>K65/Days_In_Year</f>
        <v>0.22117067905703341</v>
      </c>
      <c r="L64" s="87">
        <f>L65/Days_In_Year</f>
        <v>0.22117067905703341</v>
      </c>
      <c r="M64" s="88">
        <f>M65/Days_In_Year</f>
        <v>0.22117067905703341</v>
      </c>
    </row>
    <row r="65" spans="2:13">
      <c r="B65" s="7" t="s">
        <v>85</v>
      </c>
      <c r="F65" s="74">
        <f t="shared" si="11"/>
        <v>0</v>
      </c>
      <c r="G65" s="89">
        <f>G64*Days_In_Year</f>
        <v>82.632439774900888</v>
      </c>
      <c r="H65" s="89">
        <f>H64*Days_In_Year</f>
        <v>79.621444460532032</v>
      </c>
      <c r="I65" s="90">
        <f t="shared" ref="I65:M68" si="13">H65</f>
        <v>79.621444460532032</v>
      </c>
      <c r="J65" s="89">
        <f t="shared" si="13"/>
        <v>79.621444460532032</v>
      </c>
      <c r="K65" s="89">
        <f t="shared" si="13"/>
        <v>79.621444460532032</v>
      </c>
      <c r="L65" s="89">
        <f t="shared" si="13"/>
        <v>79.621444460532032</v>
      </c>
      <c r="M65" s="91">
        <f t="shared" si="13"/>
        <v>79.621444460532032</v>
      </c>
    </row>
    <row r="66" spans="2:13">
      <c r="B66" s="7" t="s">
        <v>86</v>
      </c>
      <c r="F66" s="74">
        <f>F127/F81</f>
        <v>0</v>
      </c>
      <c r="G66" s="74">
        <f>G127/G81</f>
        <v>1.0294069861900894</v>
      </c>
      <c r="H66" s="74">
        <f>H127/H81</f>
        <v>0.87611827141774068</v>
      </c>
      <c r="I66" s="76">
        <f t="shared" si="13"/>
        <v>0.87611827141774068</v>
      </c>
      <c r="J66" s="74">
        <f t="shared" si="13"/>
        <v>0.87611827141774068</v>
      </c>
      <c r="K66" s="74">
        <f t="shared" si="13"/>
        <v>0.87611827141774068</v>
      </c>
      <c r="L66" s="74">
        <f t="shared" si="13"/>
        <v>0.87611827141774068</v>
      </c>
      <c r="M66" s="77">
        <f t="shared" si="13"/>
        <v>0.87611827141774068</v>
      </c>
    </row>
    <row r="67" spans="2:13">
      <c r="B67" s="7" t="s">
        <v>87</v>
      </c>
      <c r="F67" s="74">
        <f t="shared" si="11"/>
        <v>0</v>
      </c>
      <c r="G67" s="74">
        <f>G128/G75</f>
        <v>4.2777777777777776E-2</v>
      </c>
      <c r="H67" s="74">
        <f>H128/H75</f>
        <v>4.7744186046511629E-2</v>
      </c>
      <c r="I67" s="76">
        <f t="shared" si="13"/>
        <v>4.7744186046511629E-2</v>
      </c>
      <c r="J67" s="74">
        <f t="shared" si="13"/>
        <v>4.7744186046511629E-2</v>
      </c>
      <c r="K67" s="74">
        <f t="shared" si="13"/>
        <v>4.7744186046511629E-2</v>
      </c>
      <c r="L67" s="74">
        <f t="shared" si="13"/>
        <v>4.7744186046511629E-2</v>
      </c>
      <c r="M67" s="77">
        <f t="shared" si="13"/>
        <v>4.7744186046511629E-2</v>
      </c>
    </row>
    <row r="68" spans="2:13">
      <c r="B68" s="7" t="s">
        <v>88</v>
      </c>
      <c r="F68" s="74">
        <f>F132/F75</f>
        <v>0</v>
      </c>
      <c r="G68" s="74">
        <f>G132/G75</f>
        <v>2.0317460317460317E-2</v>
      </c>
      <c r="H68" s="74">
        <f>H132/H75</f>
        <v>1.9837209302325583E-2</v>
      </c>
      <c r="I68" s="76">
        <f t="shared" si="13"/>
        <v>1.9837209302325583E-2</v>
      </c>
      <c r="J68" s="74">
        <f t="shared" si="13"/>
        <v>1.9837209302325583E-2</v>
      </c>
      <c r="K68" s="74">
        <f t="shared" si="13"/>
        <v>1.9837209302325583E-2</v>
      </c>
      <c r="L68" s="74">
        <f t="shared" si="13"/>
        <v>1.9837209302325583E-2</v>
      </c>
      <c r="M68" s="77">
        <f t="shared" si="13"/>
        <v>1.9837209302325583E-2</v>
      </c>
    </row>
    <row r="69" spans="2:13">
      <c r="B69" s="7"/>
      <c r="I69" s="84"/>
      <c r="M69" s="85"/>
    </row>
    <row r="70" spans="2:13" ht="16.2" thickBot="1">
      <c r="B70" s="97" t="s">
        <v>89</v>
      </c>
      <c r="C70" s="62"/>
      <c r="D70" s="62"/>
      <c r="E70" s="62"/>
      <c r="F70" s="98">
        <f>-F172/F75</f>
        <v>2.9518072289156625E-2</v>
      </c>
      <c r="G70" s="98">
        <f>-G172/G75</f>
        <v>2.8862433862433864E-2</v>
      </c>
      <c r="H70" s="98">
        <f>-H172/H75</f>
        <v>2.6604651162790698E-2</v>
      </c>
      <c r="I70" s="99">
        <f>H70</f>
        <v>2.6604651162790698E-2</v>
      </c>
      <c r="J70" s="100">
        <f>I70</f>
        <v>2.6604651162790698E-2</v>
      </c>
      <c r="K70" s="100">
        <f>J70</f>
        <v>2.6604651162790698E-2</v>
      </c>
      <c r="L70" s="100">
        <f>K70</f>
        <v>2.6604651162790698E-2</v>
      </c>
      <c r="M70" s="101">
        <f>L70</f>
        <v>2.6604651162790698E-2</v>
      </c>
    </row>
    <row r="72" spans="2:13">
      <c r="B72" s="2" t="s">
        <v>90</v>
      </c>
      <c r="C72" s="3"/>
      <c r="D72" s="3"/>
      <c r="E72" s="3"/>
      <c r="F72" s="3"/>
      <c r="G72" s="3"/>
      <c r="H72" s="4"/>
      <c r="I72" s="4"/>
      <c r="J72" s="4"/>
      <c r="K72" s="4"/>
      <c r="L72" s="4"/>
      <c r="M72" s="5"/>
    </row>
    <row r="73" spans="2:13">
      <c r="B73" s="7"/>
      <c r="F73" s="45" t="str">
        <f t="shared" ref="F73:M73" si="14">F$24</f>
        <v>FY 2015</v>
      </c>
      <c r="G73" s="45" t="str">
        <f t="shared" si="14"/>
        <v>FY 2016</v>
      </c>
      <c r="H73" s="46" t="str">
        <f t="shared" si="14"/>
        <v>FY 2017</v>
      </c>
      <c r="I73" s="45" t="str">
        <f t="shared" si="14"/>
        <v>FY 2018E</v>
      </c>
      <c r="J73" s="45" t="str">
        <f t="shared" si="14"/>
        <v>FY 2019E</v>
      </c>
      <c r="K73" s="45" t="str">
        <f t="shared" si="14"/>
        <v>FY 2020E</v>
      </c>
      <c r="L73" s="45" t="str">
        <f t="shared" si="14"/>
        <v>FY 2021E</v>
      </c>
      <c r="M73" s="46" t="str">
        <f t="shared" si="14"/>
        <v>FY 2022E</v>
      </c>
    </row>
    <row r="74" spans="2:13">
      <c r="B74" s="7"/>
      <c r="H74" s="102"/>
      <c r="M74" s="102"/>
    </row>
    <row r="75" spans="2:13">
      <c r="B75" s="9" t="s">
        <v>91</v>
      </c>
      <c r="F75" s="103">
        <v>24900</v>
      </c>
      <c r="G75" s="103">
        <v>37800</v>
      </c>
      <c r="H75" s="104">
        <v>43000</v>
      </c>
      <c r="I75" s="105">
        <f>H75*(1+I48)</f>
        <v>51600</v>
      </c>
      <c r="J75" s="105">
        <f>I75*(1+J48)</f>
        <v>62436</v>
      </c>
      <c r="K75" s="105">
        <f>J75*(1+K48)</f>
        <v>76171.92</v>
      </c>
      <c r="L75" s="105">
        <f>K75*(1+L48)</f>
        <v>91406.303999999989</v>
      </c>
      <c r="M75" s="106">
        <f>L75*(1+M48)</f>
        <v>111515.69087999998</v>
      </c>
    </row>
    <row r="76" spans="2:13">
      <c r="B76" s="7" t="s">
        <v>92</v>
      </c>
      <c r="F76" s="19">
        <f>16426-35-F$83/3</f>
        <v>16282</v>
      </c>
      <c r="G76" s="19">
        <f>24294-80-G$83/3</f>
        <v>24048.666666666668</v>
      </c>
      <c r="H76" s="107">
        <f>25683-114-H$83/3</f>
        <v>25324.333333333332</v>
      </c>
      <c r="I76" s="19">
        <f>I49*I75</f>
        <v>23736</v>
      </c>
      <c r="J76" s="19">
        <f>J49*J75</f>
        <v>28408.38</v>
      </c>
      <c r="K76" s="19">
        <f>K49*K75</f>
        <v>34429.707840000003</v>
      </c>
      <c r="L76" s="19">
        <f>L49*L75</f>
        <v>41132.836799999997</v>
      </c>
      <c r="M76" s="107">
        <f>M49*M75</f>
        <v>49624.48244159999</v>
      </c>
    </row>
    <row r="77" spans="2:13">
      <c r="B77" s="108" t="s">
        <v>93</v>
      </c>
      <c r="F77" s="109">
        <f t="shared" ref="F77:M77" si="15">F75-F76</f>
        <v>8618</v>
      </c>
      <c r="G77" s="109">
        <f t="shared" si="15"/>
        <v>13751.333333333332</v>
      </c>
      <c r="H77" s="110">
        <f t="shared" si="15"/>
        <v>17675.666666666668</v>
      </c>
      <c r="I77" s="111">
        <f t="shared" si="15"/>
        <v>27864</v>
      </c>
      <c r="J77" s="109">
        <f t="shared" si="15"/>
        <v>34027.619999999995</v>
      </c>
      <c r="K77" s="109">
        <f t="shared" si="15"/>
        <v>41742.212159999995</v>
      </c>
      <c r="L77" s="109">
        <f t="shared" si="15"/>
        <v>50273.467199999992</v>
      </c>
      <c r="M77" s="110">
        <f t="shared" si="15"/>
        <v>61891.20843839999</v>
      </c>
    </row>
    <row r="78" spans="2:13">
      <c r="B78" s="7" t="s">
        <v>94</v>
      </c>
      <c r="H78" s="23"/>
      <c r="M78" s="23"/>
    </row>
    <row r="79" spans="2:13">
      <c r="B79" s="27" t="s">
        <v>95</v>
      </c>
      <c r="F79" s="19">
        <f>782-77-F$83/3</f>
        <v>596</v>
      </c>
      <c r="G79" s="19">
        <f>1109-185-G$83/3</f>
        <v>758.66666666666663</v>
      </c>
      <c r="H79" s="107">
        <f>1333-258-H$83/3</f>
        <v>830.33333333333337</v>
      </c>
      <c r="I79" s="19">
        <f>I50*I75</f>
        <v>774</v>
      </c>
      <c r="J79" s="19">
        <f>J50*J75</f>
        <v>936.54</v>
      </c>
      <c r="K79" s="19">
        <f>K50*K75</f>
        <v>952.149</v>
      </c>
      <c r="L79" s="19">
        <f>L50*L75</f>
        <v>1142.5788</v>
      </c>
      <c r="M79" s="107">
        <f>M50*M75</f>
        <v>1338.1882905599998</v>
      </c>
    </row>
    <row r="80" spans="2:13">
      <c r="B80" s="27" t="s">
        <v>96</v>
      </c>
      <c r="F80" s="19">
        <f>2963-130-F$83/3</f>
        <v>2724</v>
      </c>
      <c r="G80" s="19">
        <f>3761-251-G$83/3</f>
        <v>3344.6666666666665</v>
      </c>
      <c r="H80" s="107">
        <f>4149-338-H$83/3</f>
        <v>3566.3333333333335</v>
      </c>
      <c r="I80" s="19">
        <f>I51*I75</f>
        <v>4128</v>
      </c>
      <c r="J80" s="19">
        <f>J51*J75</f>
        <v>5178.3160000000007</v>
      </c>
      <c r="K80" s="19">
        <f>K51*K75</f>
        <v>6322.2693600000002</v>
      </c>
      <c r="L80" s="19">
        <f>L51*L75</f>
        <v>7632.4263839999994</v>
      </c>
      <c r="M80" s="107">
        <f>M51*M75</f>
        <v>9345.0148957439978</v>
      </c>
    </row>
    <row r="81" spans="2:16">
      <c r="B81" s="112" t="s">
        <v>97</v>
      </c>
      <c r="C81" s="38"/>
      <c r="D81" s="38"/>
      <c r="E81" s="38"/>
      <c r="F81" s="36">
        <f t="shared" ref="F81:L81" si="16">SUM(F79:F80)</f>
        <v>3320</v>
      </c>
      <c r="G81" s="36">
        <f t="shared" si="16"/>
        <v>4103.333333333333</v>
      </c>
      <c r="H81" s="113">
        <f t="shared" si="16"/>
        <v>4396.666666666667</v>
      </c>
      <c r="I81" s="36">
        <f t="shared" si="16"/>
        <v>4902</v>
      </c>
      <c r="J81" s="36">
        <f t="shared" si="16"/>
        <v>6114.8560000000007</v>
      </c>
      <c r="K81" s="36">
        <f t="shared" si="16"/>
        <v>7274.4183600000006</v>
      </c>
      <c r="L81" s="36">
        <f t="shared" si="16"/>
        <v>8775.0051839999996</v>
      </c>
      <c r="M81" s="113">
        <f>SUM(M79:M80)</f>
        <v>10683.203186303997</v>
      </c>
    </row>
    <row r="82" spans="2:16">
      <c r="B82" s="114"/>
      <c r="F82" s="115"/>
      <c r="G82" s="115"/>
      <c r="H82" s="116"/>
      <c r="I82" s="115"/>
      <c r="J82" s="115"/>
      <c r="K82" s="115"/>
      <c r="L82" s="115"/>
      <c r="M82" s="116"/>
    </row>
    <row r="83" spans="2:16">
      <c r="B83" s="27" t="s">
        <v>98</v>
      </c>
      <c r="F83" s="31">
        <v>327</v>
      </c>
      <c r="G83" s="31">
        <v>496</v>
      </c>
      <c r="H83" s="12">
        <v>734</v>
      </c>
      <c r="I83" s="19">
        <f>I54*I75</f>
        <v>880.8</v>
      </c>
      <c r="J83" s="19">
        <f>J54*J75</f>
        <v>1065.768</v>
      </c>
      <c r="K83" s="19">
        <f>K54*K75</f>
        <v>1300.23696</v>
      </c>
      <c r="L83" s="19">
        <f>L54*L75</f>
        <v>1560.2843519999997</v>
      </c>
      <c r="M83" s="107">
        <f>M54*M75</f>
        <v>1903.5469094399996</v>
      </c>
    </row>
    <row r="84" spans="2:16">
      <c r="B84" s="27" t="s">
        <v>83</v>
      </c>
      <c r="F84" s="31">
        <v>0</v>
      </c>
      <c r="G84" s="31">
        <v>0</v>
      </c>
      <c r="H84" s="12">
        <v>0</v>
      </c>
      <c r="I84" s="19">
        <f>I62</f>
        <v>40</v>
      </c>
      <c r="J84" s="19">
        <f>J62</f>
        <v>37</v>
      </c>
      <c r="K84" s="19">
        <f>K62</f>
        <v>28</v>
      </c>
      <c r="L84" s="19">
        <f>L62</f>
        <v>13</v>
      </c>
      <c r="M84" s="107">
        <f>M62</f>
        <v>10</v>
      </c>
    </row>
    <row r="85" spans="2:16">
      <c r="B85" s="27" t="s">
        <v>99</v>
      </c>
      <c r="F85" s="31">
        <v>242</v>
      </c>
      <c r="G85" s="31">
        <v>516</v>
      </c>
      <c r="H85" s="12">
        <v>710</v>
      </c>
      <c r="I85" s="19">
        <f>I53*I75</f>
        <v>852</v>
      </c>
      <c r="J85" s="19">
        <f>J53*J75</f>
        <v>1030.92</v>
      </c>
      <c r="K85" s="19">
        <f>K53*K75</f>
        <v>1257.7224000000001</v>
      </c>
      <c r="L85" s="19">
        <f>L53*L75</f>
        <v>1509.2668799999999</v>
      </c>
      <c r="M85" s="107">
        <f>M53*M75</f>
        <v>1841.3055935999996</v>
      </c>
    </row>
    <row r="86" spans="2:16">
      <c r="B86" s="114"/>
      <c r="F86" s="115"/>
      <c r="G86" s="115"/>
      <c r="H86" s="116"/>
      <c r="I86" s="115"/>
      <c r="J86" s="115"/>
      <c r="K86" s="115"/>
      <c r="L86" s="115"/>
      <c r="M86" s="116"/>
    </row>
    <row r="87" spans="2:16">
      <c r="B87" s="114" t="s">
        <v>100</v>
      </c>
      <c r="F87" s="109">
        <f t="shared" ref="F87:L87" si="17">F77-F81-F83-F84-F85</f>
        <v>4729</v>
      </c>
      <c r="G87" s="109">
        <f t="shared" si="17"/>
        <v>8636</v>
      </c>
      <c r="H87" s="110">
        <f t="shared" si="17"/>
        <v>11835</v>
      </c>
      <c r="I87" s="111">
        <f t="shared" si="17"/>
        <v>21189.200000000001</v>
      </c>
      <c r="J87" s="109">
        <f t="shared" si="17"/>
        <v>25779.075999999994</v>
      </c>
      <c r="K87" s="109">
        <f t="shared" si="17"/>
        <v>31881.834439999991</v>
      </c>
      <c r="L87" s="109">
        <f t="shared" si="17"/>
        <v>38415.910783999985</v>
      </c>
      <c r="M87" s="110">
        <f>M77-M81-M83-M84-M85</f>
        <v>47453.152749055997</v>
      </c>
    </row>
    <row r="88" spans="2:16">
      <c r="B88" s="27" t="s">
        <v>101</v>
      </c>
      <c r="F88" s="31">
        <v>647</v>
      </c>
      <c r="G88" s="31">
        <v>653</v>
      </c>
      <c r="H88" s="12">
        <v>407</v>
      </c>
      <c r="I88" s="28">
        <v>424.2536377320622</v>
      </c>
      <c r="J88" s="28">
        <v>567.64936072666785</v>
      </c>
      <c r="K88" s="28">
        <v>1443.0609523951889</v>
      </c>
      <c r="L88" s="28">
        <v>1779.7118389722609</v>
      </c>
      <c r="M88" s="117">
        <v>3222.902302564717</v>
      </c>
    </row>
    <row r="89" spans="2:16">
      <c r="B89" s="27" t="s">
        <v>102</v>
      </c>
      <c r="F89" s="31">
        <v>0</v>
      </c>
      <c r="G89" s="31">
        <v>0</v>
      </c>
      <c r="H89" s="12">
        <v>0</v>
      </c>
      <c r="I89" s="28">
        <f>-AVERAGE(H133,I133)*I56</f>
        <v>-3000</v>
      </c>
      <c r="J89" s="28">
        <f>-AVERAGE(I133,J133)*J56</f>
        <v>-6500</v>
      </c>
      <c r="K89" s="28">
        <f>-AVERAGE(J133,K133)*K56</f>
        <v>-7000.0000000000009</v>
      </c>
      <c r="L89" s="28">
        <f>-AVERAGE(K133,L133)*L56</f>
        <v>-7500.0000000000009</v>
      </c>
      <c r="M89" s="117">
        <f>-AVERAGE(L133,M133)*M56</f>
        <v>-8000.0000000000018</v>
      </c>
    </row>
    <row r="90" spans="2:16">
      <c r="B90" s="27" t="s">
        <v>103</v>
      </c>
      <c r="F90" s="31">
        <v>-48</v>
      </c>
      <c r="G90" s="31">
        <v>-33</v>
      </c>
      <c r="H90" s="12">
        <v>-81</v>
      </c>
      <c r="I90" s="31">
        <v>0</v>
      </c>
      <c r="J90" s="19">
        <f>I90</f>
        <v>0</v>
      </c>
      <c r="K90" s="19">
        <f>J90</f>
        <v>0</v>
      </c>
      <c r="L90" s="19">
        <f>K90</f>
        <v>0</v>
      </c>
      <c r="M90" s="107">
        <f>L90</f>
        <v>0</v>
      </c>
    </row>
    <row r="91" spans="2:16">
      <c r="B91" s="112" t="s">
        <v>104</v>
      </c>
      <c r="C91" s="38"/>
      <c r="D91" s="38"/>
      <c r="E91" s="38"/>
      <c r="F91" s="36">
        <f t="shared" ref="F91:M91" si="18">SUM(F87:F90)</f>
        <v>5328</v>
      </c>
      <c r="G91" s="36">
        <f t="shared" si="18"/>
        <v>9256</v>
      </c>
      <c r="H91" s="113">
        <f t="shared" si="18"/>
        <v>12161</v>
      </c>
      <c r="I91" s="36">
        <f>SUM(I87:I90)</f>
        <v>18613.453637732062</v>
      </c>
      <c r="J91" s="36">
        <f t="shared" si="18"/>
        <v>19846.725360726661</v>
      </c>
      <c r="K91" s="36">
        <f t="shared" si="18"/>
        <v>26324.895392395178</v>
      </c>
      <c r="L91" s="36">
        <f t="shared" si="18"/>
        <v>32695.622622972245</v>
      </c>
      <c r="M91" s="113">
        <f t="shared" si="18"/>
        <v>42676.055051620715</v>
      </c>
    </row>
    <row r="92" spans="2:16">
      <c r="B92" s="118" t="s">
        <v>105</v>
      </c>
      <c r="F92" s="31">
        <v>1511</v>
      </c>
      <c r="G92" s="31">
        <v>2828</v>
      </c>
      <c r="H92" s="12">
        <v>3831</v>
      </c>
      <c r="I92" s="28">
        <f>I91*I57</f>
        <v>3722.6907275464127</v>
      </c>
      <c r="J92" s="28">
        <f>J91*J57</f>
        <v>3969.3450721453323</v>
      </c>
      <c r="K92" s="28">
        <f>K91*K57</f>
        <v>5264.9790784790357</v>
      </c>
      <c r="L92" s="28">
        <f>L91*L57</f>
        <v>6539.1245245944492</v>
      </c>
      <c r="M92" s="117">
        <f>M91*M57</f>
        <v>8535.211010324143</v>
      </c>
    </row>
    <row r="93" spans="2:16">
      <c r="B93" s="27"/>
      <c r="H93" s="23"/>
      <c r="M93" s="23"/>
    </row>
    <row r="94" spans="2:16">
      <c r="B94" s="114" t="s">
        <v>106</v>
      </c>
      <c r="F94" s="109">
        <f t="shared" ref="F94:M94" si="19">F91-F92</f>
        <v>3817</v>
      </c>
      <c r="G94" s="109">
        <f t="shared" si="19"/>
        <v>6428</v>
      </c>
      <c r="H94" s="110">
        <f t="shared" si="19"/>
        <v>8330</v>
      </c>
      <c r="I94" s="109">
        <f>I91-I92</f>
        <v>14890.762910185649</v>
      </c>
      <c r="J94" s="109">
        <f t="shared" si="19"/>
        <v>15877.380288581329</v>
      </c>
      <c r="K94" s="109">
        <f t="shared" si="19"/>
        <v>21059.916313916143</v>
      </c>
      <c r="L94" s="109">
        <f t="shared" si="19"/>
        <v>26156.498098377797</v>
      </c>
      <c r="M94" s="109">
        <f t="shared" si="19"/>
        <v>34140.844041296572</v>
      </c>
      <c r="O94">
        <v>1</v>
      </c>
      <c r="P94" s="184">
        <v>80098</v>
      </c>
    </row>
    <row r="95" spans="2:16">
      <c r="B95" s="27"/>
      <c r="H95" s="23"/>
      <c r="M95" s="23"/>
      <c r="O95">
        <v>2</v>
      </c>
      <c r="P95" s="184">
        <v>106053</v>
      </c>
    </row>
    <row r="96" spans="2:16">
      <c r="B96" s="114" t="s">
        <v>107</v>
      </c>
      <c r="F96" s="119">
        <f t="shared" ref="F96:M96" si="20">F94*Units/F97</f>
        <v>4.2921784970515873</v>
      </c>
      <c r="G96" s="119">
        <f t="shared" si="20"/>
        <v>7.1252877882454921</v>
      </c>
      <c r="H96" s="120">
        <f t="shared" si="20"/>
        <v>9.1840728551661783</v>
      </c>
      <c r="I96" s="119">
        <f>I94*Units/I97</f>
        <v>16.417509176008565</v>
      </c>
      <c r="J96" s="119">
        <f t="shared" si="20"/>
        <v>17.505284192018046</v>
      </c>
      <c r="K96" s="119">
        <f t="shared" si="20"/>
        <v>23.219184363830568</v>
      </c>
      <c r="L96" s="119">
        <f t="shared" si="20"/>
        <v>28.838317427553097</v>
      </c>
      <c r="M96" s="120">
        <f t="shared" si="20"/>
        <v>37.641296400016067</v>
      </c>
      <c r="O96">
        <v>3</v>
      </c>
      <c r="P96" s="184">
        <v>130700</v>
      </c>
    </row>
    <row r="97" spans="2:13">
      <c r="B97" s="118" t="s">
        <v>34</v>
      </c>
      <c r="F97" s="17">
        <v>889292</v>
      </c>
      <c r="G97" s="17">
        <v>902139</v>
      </c>
      <c r="H97" s="121">
        <v>907005</v>
      </c>
      <c r="I97" s="21">
        <f>H97</f>
        <v>907005</v>
      </c>
      <c r="J97" s="21">
        <f>I97</f>
        <v>907005</v>
      </c>
      <c r="K97" s="21">
        <f>J97</f>
        <v>907005</v>
      </c>
      <c r="L97" s="21">
        <f>K97</f>
        <v>907005</v>
      </c>
      <c r="M97" s="122">
        <f>L97</f>
        <v>907005</v>
      </c>
    </row>
    <row r="98" spans="2:13">
      <c r="B98" s="118"/>
      <c r="F98" s="17"/>
      <c r="G98" s="17"/>
      <c r="H98" s="121"/>
      <c r="I98" s="21"/>
      <c r="J98" s="21"/>
      <c r="K98" s="21"/>
      <c r="L98" s="21"/>
      <c r="M98" s="122"/>
    </row>
    <row r="99" spans="2:13">
      <c r="B99" s="108" t="s">
        <v>108</v>
      </c>
      <c r="F99" s="109">
        <f t="shared" ref="F99:M99" si="21">F87+F85</f>
        <v>4971</v>
      </c>
      <c r="G99" s="109">
        <f t="shared" si="21"/>
        <v>9152</v>
      </c>
      <c r="H99" s="110">
        <f t="shared" si="21"/>
        <v>12545</v>
      </c>
      <c r="I99" s="111">
        <f t="shared" si="21"/>
        <v>22041.200000000001</v>
      </c>
      <c r="J99" s="109">
        <f t="shared" si="21"/>
        <v>26809.995999999992</v>
      </c>
      <c r="K99" s="109">
        <f t="shared" si="21"/>
        <v>33139.55683999999</v>
      </c>
      <c r="L99" s="109">
        <f t="shared" si="21"/>
        <v>39925.177663999988</v>
      </c>
      <c r="M99" s="110">
        <f t="shared" si="21"/>
        <v>49294.458342655998</v>
      </c>
    </row>
    <row r="100" spans="2:13">
      <c r="B100" s="108" t="s">
        <v>109</v>
      </c>
      <c r="E100" s="172" t="s">
        <v>110</v>
      </c>
      <c r="F100" s="109">
        <f t="shared" ref="F100:M100" si="22">F87+F85+F84+F83</f>
        <v>5298</v>
      </c>
      <c r="G100" s="109">
        <f t="shared" si="22"/>
        <v>9648</v>
      </c>
      <c r="H100" s="110">
        <f t="shared" si="22"/>
        <v>13279</v>
      </c>
      <c r="I100" s="111">
        <f t="shared" si="22"/>
        <v>22962</v>
      </c>
      <c r="J100" s="109">
        <f t="shared" si="22"/>
        <v>27912.763999999992</v>
      </c>
      <c r="K100" s="109">
        <f t="shared" si="22"/>
        <v>34467.793799999992</v>
      </c>
      <c r="L100" s="109">
        <f t="shared" si="22"/>
        <v>41498.46201599999</v>
      </c>
      <c r="M100" s="110">
        <f t="shared" si="22"/>
        <v>51208.005252096002</v>
      </c>
    </row>
    <row r="101" spans="2:13" ht="21">
      <c r="B101" s="123" t="s">
        <v>111</v>
      </c>
      <c r="C101" s="124"/>
      <c r="D101" s="124"/>
      <c r="E101" s="173">
        <v>-50000</v>
      </c>
      <c r="F101" s="125">
        <f t="shared" ref="F101:M101" si="23">F166+F172</f>
        <v>5057</v>
      </c>
      <c r="G101" s="125">
        <f t="shared" si="23"/>
        <v>8814</v>
      </c>
      <c r="H101" s="126">
        <f t="shared" si="23"/>
        <v>10406</v>
      </c>
      <c r="I101" s="127">
        <f t="shared" si="23"/>
        <v>15319.739355706119</v>
      </c>
      <c r="J101" s="125">
        <f t="shared" si="23"/>
        <v>18247.370820532644</v>
      </c>
      <c r="K101" s="125">
        <f t="shared" si="23"/>
        <v>23713.473400411116</v>
      </c>
      <c r="L101" s="125">
        <f t="shared" si="23"/>
        <v>29322.808066594414</v>
      </c>
      <c r="M101" s="126">
        <f t="shared" si="23"/>
        <v>38113.416657639769</v>
      </c>
    </row>
    <row r="102" spans="2:13">
      <c r="B102" s="128" t="s">
        <v>112</v>
      </c>
      <c r="C102" s="62"/>
      <c r="D102" s="62"/>
      <c r="E102" s="62"/>
      <c r="F102" s="129">
        <f t="shared" ref="F102:M102" si="24">(F122-F119-F120-F135)*Units/F97</f>
        <v>0</v>
      </c>
      <c r="G102" s="129">
        <f t="shared" si="24"/>
        <v>24.512852232305665</v>
      </c>
      <c r="H102" s="130">
        <f t="shared" si="24"/>
        <v>35.003114646556526</v>
      </c>
      <c r="I102" s="129">
        <f t="shared" si="24"/>
        <v>52.404080363598482</v>
      </c>
      <c r="J102" s="129">
        <f t="shared" si="24"/>
        <v>71.086778131065387</v>
      </c>
      <c r="K102" s="129">
        <f t="shared" si="24"/>
        <v>95.723509696951041</v>
      </c>
      <c r="L102" s="129">
        <f t="shared" si="24"/>
        <v>126.24017165402717</v>
      </c>
      <c r="M102" s="130">
        <f t="shared" si="24"/>
        <v>165.92258755569978</v>
      </c>
    </row>
    <row r="103" spans="2:13">
      <c r="E103" s="175" t="s">
        <v>113</v>
      </c>
      <c r="F103" s="175" t="s">
        <v>114</v>
      </c>
      <c r="G103" s="175" t="s">
        <v>115</v>
      </c>
      <c r="H103" s="175" t="s">
        <v>116</v>
      </c>
      <c r="I103" s="175" t="s">
        <v>117</v>
      </c>
      <c r="J103" s="175" t="s">
        <v>118</v>
      </c>
      <c r="K103" s="175" t="s">
        <v>119</v>
      </c>
      <c r="L103" s="175" t="s">
        <v>120</v>
      </c>
      <c r="M103" s="175" t="s">
        <v>121</v>
      </c>
    </row>
    <row r="104" spans="2:13">
      <c r="B104" s="2" t="s">
        <v>122</v>
      </c>
      <c r="C104" s="3"/>
      <c r="D104" s="3"/>
      <c r="E104" s="3"/>
      <c r="F104" s="3"/>
      <c r="G104" s="4"/>
      <c r="H104" s="4"/>
      <c r="I104" s="4"/>
      <c r="J104" s="4"/>
      <c r="K104" s="4"/>
      <c r="L104" s="4"/>
      <c r="M104" s="5"/>
    </row>
    <row r="105" spans="2:13">
      <c r="B105" s="7"/>
      <c r="E105" s="47"/>
      <c r="F105" s="47"/>
      <c r="G105" s="45" t="str">
        <f t="shared" ref="G105:M105" si="25">G$24</f>
        <v>FY 2016</v>
      </c>
      <c r="H105" s="46" t="str">
        <f t="shared" si="25"/>
        <v>FY 2017</v>
      </c>
      <c r="I105" s="45" t="str">
        <f t="shared" si="25"/>
        <v>FY 2018E</v>
      </c>
      <c r="J105" s="45" t="str">
        <f t="shared" si="25"/>
        <v>FY 2019E</v>
      </c>
      <c r="K105" s="45" t="str">
        <f t="shared" si="25"/>
        <v>FY 2020E</v>
      </c>
      <c r="L105" s="45" t="str">
        <f t="shared" si="25"/>
        <v>FY 2021E</v>
      </c>
      <c r="M105" s="46" t="str">
        <f t="shared" si="25"/>
        <v>FY 2022E</v>
      </c>
    </row>
    <row r="106" spans="2:13">
      <c r="B106" s="131" t="s">
        <v>123</v>
      </c>
      <c r="C106" s="132"/>
      <c r="D106" s="132"/>
      <c r="E106" s="133"/>
      <c r="F106" s="133"/>
      <c r="G106" s="133"/>
      <c r="H106" s="134"/>
      <c r="I106" s="38"/>
      <c r="M106" s="135"/>
    </row>
    <row r="107" spans="2:13">
      <c r="B107" s="9" t="s">
        <v>124</v>
      </c>
      <c r="C107" s="136"/>
      <c r="D107" s="136"/>
      <c r="E107" s="136"/>
      <c r="G107" s="136"/>
      <c r="H107" s="137"/>
      <c r="M107" s="23"/>
    </row>
    <row r="108" spans="2:13">
      <c r="B108" s="27" t="s">
        <v>125</v>
      </c>
      <c r="C108" s="138"/>
      <c r="D108" s="138"/>
      <c r="E108" s="31"/>
      <c r="G108" s="19">
        <f t="shared" ref="G108:M108" si="26">G187</f>
        <v>12184</v>
      </c>
      <c r="H108" s="107">
        <f t="shared" si="26"/>
        <v>6963</v>
      </c>
      <c r="I108" s="19">
        <f t="shared" si="26"/>
        <v>122282.73935570612</v>
      </c>
      <c r="J108" s="19">
        <f t="shared" si="26"/>
        <v>140530.11017623876</v>
      </c>
      <c r="K108" s="19">
        <f t="shared" si="26"/>
        <v>164243.58357664986</v>
      </c>
      <c r="L108" s="19">
        <f t="shared" si="26"/>
        <v>193566.39164324428</v>
      </c>
      <c r="M108" s="107">
        <f t="shared" si="26"/>
        <v>231679.80830088403</v>
      </c>
    </row>
    <row r="109" spans="2:13">
      <c r="B109" s="27" t="s">
        <v>126</v>
      </c>
      <c r="C109" s="109"/>
      <c r="D109" s="105"/>
      <c r="E109" s="31"/>
      <c r="G109" s="31">
        <v>10236</v>
      </c>
      <c r="H109" s="107">
        <f t="shared" ref="H109:M109" si="27">G109-H169-H170</f>
        <v>26282</v>
      </c>
      <c r="I109" s="19">
        <f t="shared" si="27"/>
        <v>26282</v>
      </c>
      <c r="J109" s="19">
        <f t="shared" si="27"/>
        <v>26282</v>
      </c>
      <c r="K109" s="19">
        <f t="shared" si="27"/>
        <v>26282</v>
      </c>
      <c r="L109" s="19">
        <f t="shared" si="27"/>
        <v>26282</v>
      </c>
      <c r="M109" s="107">
        <f t="shared" si="27"/>
        <v>26282</v>
      </c>
    </row>
    <row r="110" spans="2:13">
      <c r="B110" s="27" t="s">
        <v>127</v>
      </c>
      <c r="E110" s="31"/>
      <c r="G110" s="31">
        <v>2422</v>
      </c>
      <c r="H110" s="12">
        <v>3361</v>
      </c>
      <c r="I110" s="19">
        <f>I59*I75</f>
        <v>4033.2</v>
      </c>
      <c r="J110" s="19">
        <f>J59*J75</f>
        <v>4880.1719999999996</v>
      </c>
      <c r="K110" s="19">
        <f>K59*K75</f>
        <v>5953.8098399999999</v>
      </c>
      <c r="L110" s="19">
        <f>L59*L75</f>
        <v>7144.5718079999988</v>
      </c>
      <c r="M110" s="107">
        <f>M59*M75</f>
        <v>8716.3776057599971</v>
      </c>
    </row>
    <row r="111" spans="2:13">
      <c r="B111" s="27" t="s">
        <v>128</v>
      </c>
      <c r="C111" s="138"/>
      <c r="D111" s="138"/>
      <c r="E111" s="31"/>
      <c r="G111" s="31">
        <v>509</v>
      </c>
      <c r="H111" s="12">
        <v>455</v>
      </c>
      <c r="I111" s="19">
        <f>I61*I76</f>
        <v>426.46255906703698</v>
      </c>
      <c r="J111" s="19">
        <f>J61*J76</f>
        <v>510.41078672686353</v>
      </c>
      <c r="K111" s="19">
        <f>K61*K76</f>
        <v>618.59543787398161</v>
      </c>
      <c r="L111" s="19">
        <f>L61*L76</f>
        <v>739.02994790254422</v>
      </c>
      <c r="M111" s="107">
        <f>M61*M76</f>
        <v>891.59857492509161</v>
      </c>
    </row>
    <row r="112" spans="2:13">
      <c r="B112" s="27" t="s">
        <v>129</v>
      </c>
      <c r="C112" s="138"/>
      <c r="D112" s="138"/>
      <c r="E112" s="31"/>
      <c r="G112" s="31">
        <v>1044</v>
      </c>
      <c r="H112" s="107">
        <f t="shared" ref="H112:M112" si="28">G112-H156</f>
        <v>4</v>
      </c>
      <c r="I112" s="19">
        <f t="shared" si="28"/>
        <v>4</v>
      </c>
      <c r="J112" s="19">
        <f t="shared" si="28"/>
        <v>4</v>
      </c>
      <c r="K112" s="19">
        <f t="shared" si="28"/>
        <v>4</v>
      </c>
      <c r="L112" s="19">
        <f t="shared" si="28"/>
        <v>4</v>
      </c>
      <c r="M112" s="107">
        <f t="shared" si="28"/>
        <v>4</v>
      </c>
    </row>
    <row r="113" spans="2:13">
      <c r="B113" s="27" t="s">
        <v>130</v>
      </c>
      <c r="C113" s="109"/>
      <c r="D113" s="105"/>
      <c r="E113" s="31"/>
      <c r="G113" s="31">
        <v>3920</v>
      </c>
      <c r="H113" s="12">
        <v>3140</v>
      </c>
      <c r="I113" s="19">
        <f>H113</f>
        <v>3140</v>
      </c>
      <c r="J113" s="19">
        <f>I113</f>
        <v>3140</v>
      </c>
      <c r="K113" s="19">
        <f>J113</f>
        <v>3140</v>
      </c>
      <c r="L113" s="19">
        <f>K113</f>
        <v>3140</v>
      </c>
      <c r="M113" s="107">
        <f>L113</f>
        <v>3140</v>
      </c>
    </row>
    <row r="114" spans="2:13">
      <c r="B114" s="139" t="s">
        <v>131</v>
      </c>
      <c r="C114" s="140"/>
      <c r="D114" s="141"/>
      <c r="E114" s="142"/>
      <c r="F114" s="38"/>
      <c r="G114" s="142">
        <f t="shared" ref="G114:M114" si="29">SUM(G108:G113)</f>
        <v>30315</v>
      </c>
      <c r="H114" s="143">
        <f t="shared" si="29"/>
        <v>40205</v>
      </c>
      <c r="I114" s="142">
        <f t="shared" si="29"/>
        <v>156168.40191477316</v>
      </c>
      <c r="J114" s="142">
        <f t="shared" si="29"/>
        <v>175346.69296296561</v>
      </c>
      <c r="K114" s="142">
        <f t="shared" si="29"/>
        <v>200241.98885452384</v>
      </c>
      <c r="L114" s="142">
        <f t="shared" si="29"/>
        <v>230875.99339914683</v>
      </c>
      <c r="M114" s="143">
        <f t="shared" si="29"/>
        <v>270713.78448156914</v>
      </c>
    </row>
    <row r="115" spans="2:13">
      <c r="B115" s="7"/>
      <c r="C115" s="109"/>
      <c r="D115" s="105"/>
      <c r="E115" s="105"/>
      <c r="G115" s="105"/>
      <c r="H115" s="106"/>
      <c r="I115" s="105"/>
      <c r="J115" s="105"/>
      <c r="K115" s="105"/>
      <c r="L115" s="105"/>
      <c r="M115" s="106"/>
    </row>
    <row r="116" spans="2:13">
      <c r="B116" s="9" t="s">
        <v>132</v>
      </c>
      <c r="C116" s="109"/>
      <c r="D116" s="105"/>
      <c r="E116" s="105"/>
      <c r="G116" s="105"/>
      <c r="H116" s="106"/>
      <c r="I116" s="105"/>
      <c r="J116" s="105"/>
      <c r="K116" s="105"/>
      <c r="L116" s="105"/>
      <c r="M116" s="106"/>
    </row>
    <row r="117" spans="2:13">
      <c r="B117" s="27" t="s">
        <v>133</v>
      </c>
      <c r="C117" s="144"/>
      <c r="D117" s="19"/>
      <c r="E117" s="31"/>
      <c r="G117" s="31">
        <v>2379</v>
      </c>
      <c r="H117" s="107">
        <f t="shared" ref="H117:M117" si="30">G117-H171-H174</f>
        <v>2554</v>
      </c>
      <c r="I117" s="19">
        <f t="shared" si="30"/>
        <v>2554</v>
      </c>
      <c r="J117" s="19">
        <f t="shared" si="30"/>
        <v>2554</v>
      </c>
      <c r="K117" s="19">
        <f t="shared" si="30"/>
        <v>2554</v>
      </c>
      <c r="L117" s="19">
        <f t="shared" si="30"/>
        <v>2554</v>
      </c>
      <c r="M117" s="107">
        <f t="shared" si="30"/>
        <v>2554</v>
      </c>
    </row>
    <row r="118" spans="2:13">
      <c r="B118" s="27" t="s">
        <v>134</v>
      </c>
      <c r="C118" s="109"/>
      <c r="D118" s="105"/>
      <c r="E118" s="31"/>
      <c r="G118" s="31">
        <v>2455</v>
      </c>
      <c r="H118" s="107">
        <f t="shared" ref="H118:M118" si="31">G118-H172-H153-H157</f>
        <v>2839</v>
      </c>
      <c r="I118" s="19">
        <f t="shared" si="31"/>
        <v>3331</v>
      </c>
      <c r="J118" s="19">
        <f t="shared" si="31"/>
        <v>3926.3199999999997</v>
      </c>
      <c r="K118" s="19">
        <f t="shared" si="31"/>
        <v>4652.6103999999996</v>
      </c>
      <c r="L118" s="19">
        <f t="shared" si="31"/>
        <v>5524.15888</v>
      </c>
      <c r="M118" s="107">
        <f t="shared" si="31"/>
        <v>6587.4480255999988</v>
      </c>
    </row>
    <row r="119" spans="2:13">
      <c r="B119" s="27" t="s">
        <v>135</v>
      </c>
      <c r="C119" s="145"/>
      <c r="D119" s="146"/>
      <c r="E119" s="31"/>
      <c r="G119" s="31">
        <v>207</v>
      </c>
      <c r="H119" s="107">
        <f t="shared" ref="H119:M119" si="32">G119</f>
        <v>207</v>
      </c>
      <c r="I119" s="19">
        <f t="shared" si="32"/>
        <v>207</v>
      </c>
      <c r="J119" s="19">
        <f t="shared" si="32"/>
        <v>207</v>
      </c>
      <c r="K119" s="19">
        <f t="shared" si="32"/>
        <v>207</v>
      </c>
      <c r="L119" s="19">
        <f t="shared" si="32"/>
        <v>207</v>
      </c>
      <c r="M119" s="107">
        <f t="shared" si="32"/>
        <v>207</v>
      </c>
    </row>
    <row r="120" spans="2:13">
      <c r="B120" s="147" t="s">
        <v>136</v>
      </c>
      <c r="C120" s="148"/>
      <c r="D120" s="149"/>
      <c r="E120" s="31"/>
      <c r="G120" s="31">
        <v>285</v>
      </c>
      <c r="H120" s="107">
        <f t="shared" ref="H120:M120" si="33">G120-H154-H173</f>
        <v>354</v>
      </c>
      <c r="I120" s="19">
        <f t="shared" si="33"/>
        <v>314</v>
      </c>
      <c r="J120" s="19">
        <f t="shared" si="33"/>
        <v>277</v>
      </c>
      <c r="K120" s="19">
        <f t="shared" si="33"/>
        <v>249</v>
      </c>
      <c r="L120" s="19">
        <f t="shared" si="33"/>
        <v>236</v>
      </c>
      <c r="M120" s="107">
        <f t="shared" si="33"/>
        <v>226</v>
      </c>
    </row>
    <row r="121" spans="2:13">
      <c r="B121" s="147" t="s">
        <v>137</v>
      </c>
      <c r="C121" s="148"/>
      <c r="D121" s="149"/>
      <c r="E121" s="31"/>
      <c r="G121" s="31">
        <v>839</v>
      </c>
      <c r="H121" s="12">
        <v>2011</v>
      </c>
      <c r="I121" s="19">
        <f>H121</f>
        <v>2011</v>
      </c>
      <c r="J121" s="19">
        <f>I121</f>
        <v>2011</v>
      </c>
      <c r="K121" s="19">
        <f>J121</f>
        <v>2011</v>
      </c>
      <c r="L121" s="19">
        <f>K121</f>
        <v>2011</v>
      </c>
      <c r="M121" s="107">
        <f>L121</f>
        <v>2011</v>
      </c>
    </row>
    <row r="122" spans="2:13">
      <c r="B122" s="139" t="s">
        <v>138</v>
      </c>
      <c r="C122" s="140"/>
      <c r="D122" s="141"/>
      <c r="E122" s="142"/>
      <c r="F122" s="38"/>
      <c r="G122" s="142">
        <f t="shared" ref="G122:M122" si="34">SUM(G117:G121)+G114</f>
        <v>36480</v>
      </c>
      <c r="H122" s="143">
        <f t="shared" si="34"/>
        <v>48170</v>
      </c>
      <c r="I122" s="142">
        <f t="shared" si="34"/>
        <v>164585.40191477316</v>
      </c>
      <c r="J122" s="142">
        <f t="shared" si="34"/>
        <v>184322.01296296561</v>
      </c>
      <c r="K122" s="142">
        <f t="shared" si="34"/>
        <v>209915.59925452384</v>
      </c>
      <c r="L122" s="142">
        <f t="shared" si="34"/>
        <v>241408.15227914683</v>
      </c>
      <c r="M122" s="143">
        <f t="shared" si="34"/>
        <v>282299.23250716913</v>
      </c>
    </row>
    <row r="123" spans="2:13">
      <c r="B123" s="150"/>
      <c r="C123" s="148"/>
      <c r="D123" s="149"/>
      <c r="E123" s="149"/>
      <c r="G123" s="149"/>
      <c r="H123" s="151"/>
      <c r="I123" s="149"/>
      <c r="J123" s="149"/>
      <c r="K123" s="149"/>
      <c r="L123" s="149"/>
      <c r="M123" s="151"/>
    </row>
    <row r="124" spans="2:13">
      <c r="B124" s="152" t="s">
        <v>139</v>
      </c>
      <c r="C124" s="153"/>
      <c r="D124" s="154"/>
      <c r="E124" s="154"/>
      <c r="G124" s="155"/>
      <c r="H124" s="156"/>
      <c r="I124" s="155"/>
      <c r="J124" s="155"/>
      <c r="K124" s="155"/>
      <c r="L124" s="155"/>
      <c r="M124" s="156"/>
    </row>
    <row r="125" spans="2:13">
      <c r="B125" s="9" t="s">
        <v>140</v>
      </c>
      <c r="C125" s="109"/>
      <c r="D125" s="105"/>
      <c r="E125" s="105"/>
      <c r="G125" s="105"/>
      <c r="H125" s="106"/>
      <c r="I125" s="105"/>
      <c r="J125" s="105"/>
      <c r="K125" s="105"/>
      <c r="L125" s="105"/>
      <c r="M125" s="106"/>
    </row>
    <row r="126" spans="2:13">
      <c r="B126" s="27" t="s">
        <v>141</v>
      </c>
      <c r="C126" s="109"/>
      <c r="D126" s="105"/>
      <c r="E126" s="31"/>
      <c r="G126" s="31">
        <v>5520</v>
      </c>
      <c r="H126" s="12">
        <v>5601</v>
      </c>
      <c r="I126" s="19">
        <f>I64*I76</f>
        <v>5249.7072380977452</v>
      </c>
      <c r="J126" s="19">
        <f>J64*J76</f>
        <v>6283.1006955102475</v>
      </c>
      <c r="K126" s="19">
        <f>K64*K76</f>
        <v>7614.8418627080682</v>
      </c>
      <c r="L126" s="19">
        <f>L64*L76</f>
        <v>9097.3774465981332</v>
      </c>
      <c r="M126" s="107">
        <f>M64*M76</f>
        <v>10975.480479462502</v>
      </c>
    </row>
    <row r="127" spans="2:13">
      <c r="B127" s="27" t="s">
        <v>142</v>
      </c>
      <c r="C127" s="109"/>
      <c r="D127" s="105"/>
      <c r="E127" s="31"/>
      <c r="G127" s="31">
        <v>4224</v>
      </c>
      <c r="H127" s="12">
        <v>3852</v>
      </c>
      <c r="I127" s="19">
        <f>I66*I81</f>
        <v>4294.7317664897646</v>
      </c>
      <c r="J127" s="19">
        <f>J66*J81</f>
        <v>5357.3370686884009</v>
      </c>
      <c r="K127" s="19">
        <f>K66*K81</f>
        <v>6373.2508391326764</v>
      </c>
      <c r="L127" s="19">
        <f>L66*L81</f>
        <v>7687.9423734877928</v>
      </c>
      <c r="M127" s="107">
        <f>M66*M81</f>
        <v>9359.7495087891584</v>
      </c>
    </row>
    <row r="128" spans="2:13">
      <c r="B128" s="27" t="s">
        <v>143</v>
      </c>
      <c r="E128" s="31"/>
      <c r="G128" s="31">
        <v>1617</v>
      </c>
      <c r="H128" s="12">
        <v>2053</v>
      </c>
      <c r="I128" s="19">
        <f>I67*I75</f>
        <v>2463.6</v>
      </c>
      <c r="J128" s="19">
        <f>J67*J75</f>
        <v>2980.9560000000001</v>
      </c>
      <c r="K128" s="19">
        <f>K67*K75</f>
        <v>3636.7663200000002</v>
      </c>
      <c r="L128" s="19">
        <f>L67*L75</f>
        <v>4364.1195839999991</v>
      </c>
      <c r="M128" s="107">
        <f>M67*M75</f>
        <v>5324.2258924799989</v>
      </c>
    </row>
    <row r="129" spans="2:13">
      <c r="B129" s="139" t="s">
        <v>144</v>
      </c>
      <c r="C129" s="38"/>
      <c r="D129" s="38"/>
      <c r="E129" s="142"/>
      <c r="F129" s="38"/>
      <c r="G129" s="142">
        <f t="shared" ref="G129:M129" si="35">SUM(G126:G128)</f>
        <v>11361</v>
      </c>
      <c r="H129" s="143">
        <f t="shared" si="35"/>
        <v>11506</v>
      </c>
      <c r="I129" s="142">
        <f t="shared" si="35"/>
        <v>12008.03900458751</v>
      </c>
      <c r="J129" s="142">
        <f t="shared" si="35"/>
        <v>14621.393764198649</v>
      </c>
      <c r="K129" s="142">
        <f t="shared" si="35"/>
        <v>17624.859021840744</v>
      </c>
      <c r="L129" s="142">
        <f t="shared" si="35"/>
        <v>21149.439404085926</v>
      </c>
      <c r="M129" s="143">
        <f t="shared" si="35"/>
        <v>25659.455880731657</v>
      </c>
    </row>
    <row r="130" spans="2:13">
      <c r="B130" s="7"/>
      <c r="H130" s="23"/>
      <c r="M130" s="23"/>
    </row>
    <row r="131" spans="2:13">
      <c r="B131" s="9" t="s">
        <v>145</v>
      </c>
      <c r="H131" s="23"/>
      <c r="M131" s="23"/>
    </row>
    <row r="132" spans="2:13">
      <c r="B132" s="27" t="s">
        <v>143</v>
      </c>
      <c r="E132" s="31"/>
      <c r="G132" s="31">
        <v>768</v>
      </c>
      <c r="H132" s="12">
        <v>853</v>
      </c>
      <c r="I132" s="19">
        <f>I68*I75</f>
        <v>1023.6</v>
      </c>
      <c r="J132" s="19">
        <f>J68*J75</f>
        <v>1238.556</v>
      </c>
      <c r="K132" s="19">
        <f>K68*K75</f>
        <v>1511.0383200000001</v>
      </c>
      <c r="L132" s="19">
        <f>L68*L75</f>
        <v>1813.2459839999999</v>
      </c>
      <c r="M132" s="107">
        <f>M68*M75</f>
        <v>2212.1601004799995</v>
      </c>
    </row>
    <row r="133" spans="2:13">
      <c r="B133" s="27" t="s">
        <v>146</v>
      </c>
      <c r="E133" s="31"/>
      <c r="G133" s="31">
        <v>0</v>
      </c>
      <c r="H133" s="12">
        <v>0</v>
      </c>
      <c r="I133" s="19">
        <f>H133+I182</f>
        <v>100000</v>
      </c>
      <c r="J133" s="19">
        <f>I133+J182</f>
        <v>100000</v>
      </c>
      <c r="K133" s="19">
        <f>J133+K182</f>
        <v>100000</v>
      </c>
      <c r="L133" s="19">
        <f>K133+L182</f>
        <v>100000</v>
      </c>
      <c r="M133" s="107">
        <f>L133+M182</f>
        <v>100000</v>
      </c>
    </row>
    <row r="134" spans="2:13">
      <c r="B134" s="27" t="s">
        <v>147</v>
      </c>
      <c r="E134" s="31"/>
      <c r="G134" s="31">
        <v>1745</v>
      </c>
      <c r="H134" s="12">
        <v>3502</v>
      </c>
      <c r="I134" s="19">
        <f>H134</f>
        <v>3502</v>
      </c>
      <c r="J134" s="19">
        <f>I134</f>
        <v>3502</v>
      </c>
      <c r="K134" s="19">
        <f>J134</f>
        <v>3502</v>
      </c>
      <c r="L134" s="19">
        <f>K134</f>
        <v>3502</v>
      </c>
      <c r="M134" s="107">
        <f>L134</f>
        <v>3502</v>
      </c>
    </row>
    <row r="135" spans="2:13">
      <c r="B135" s="139" t="s">
        <v>148</v>
      </c>
      <c r="C135" s="38"/>
      <c r="D135" s="38"/>
      <c r="E135" s="142"/>
      <c r="F135" s="38"/>
      <c r="G135" s="142">
        <f t="shared" ref="G135:M135" si="36">SUM(G132:G134)+G129</f>
        <v>13874</v>
      </c>
      <c r="H135" s="143">
        <f t="shared" si="36"/>
        <v>15861</v>
      </c>
      <c r="I135" s="142">
        <f t="shared" si="36"/>
        <v>116533.63900458752</v>
      </c>
      <c r="J135" s="142">
        <f t="shared" si="36"/>
        <v>119361.94976419865</v>
      </c>
      <c r="K135" s="142">
        <f t="shared" si="36"/>
        <v>122637.89734184075</v>
      </c>
      <c r="L135" s="142">
        <f>SUM(L132:L134)+L129</f>
        <v>126464.68538808593</v>
      </c>
      <c r="M135" s="143">
        <f t="shared" si="36"/>
        <v>131373.61598121165</v>
      </c>
    </row>
    <row r="136" spans="2:13">
      <c r="B136" s="7"/>
      <c r="H136" s="23"/>
      <c r="M136" s="23"/>
    </row>
    <row r="137" spans="2:13">
      <c r="B137" s="9" t="s">
        <v>149</v>
      </c>
      <c r="H137" s="23"/>
      <c r="M137" s="23"/>
    </row>
    <row r="138" spans="2:13">
      <c r="B138" s="27" t="s">
        <v>150</v>
      </c>
      <c r="E138" s="31"/>
      <c r="G138" s="31">
        <v>7177</v>
      </c>
      <c r="H138" s="107">
        <f t="shared" ref="H138:M138" si="37">G138</f>
        <v>7177</v>
      </c>
      <c r="I138" s="19">
        <f t="shared" si="37"/>
        <v>7177</v>
      </c>
      <c r="J138" s="19">
        <f t="shared" si="37"/>
        <v>7177</v>
      </c>
      <c r="K138" s="19">
        <f t="shared" si="37"/>
        <v>7177</v>
      </c>
      <c r="L138" s="19">
        <f t="shared" si="37"/>
        <v>7177</v>
      </c>
      <c r="M138" s="107">
        <f t="shared" si="37"/>
        <v>7177</v>
      </c>
    </row>
    <row r="139" spans="2:13">
      <c r="B139" s="27" t="s">
        <v>151</v>
      </c>
      <c r="E139" s="31"/>
      <c r="G139" s="31">
        <v>0</v>
      </c>
      <c r="H139" s="107">
        <f t="shared" ref="H139:M139" si="38">G139+H178+H155</f>
        <v>1185</v>
      </c>
      <c r="I139" s="19">
        <f t="shared" si="38"/>
        <v>2037</v>
      </c>
      <c r="J139" s="19">
        <f t="shared" si="38"/>
        <v>3067.92</v>
      </c>
      <c r="K139" s="19">
        <f t="shared" si="38"/>
        <v>4325.6424000000006</v>
      </c>
      <c r="L139" s="19">
        <f t="shared" si="38"/>
        <v>5834.9092800000008</v>
      </c>
      <c r="M139" s="107">
        <f t="shared" si="38"/>
        <v>7676.2148735999999</v>
      </c>
    </row>
    <row r="140" spans="2:13">
      <c r="B140" s="27" t="s">
        <v>152</v>
      </c>
      <c r="E140" s="31"/>
      <c r="G140" s="31">
        <v>0</v>
      </c>
      <c r="H140" s="107">
        <f t="shared" ref="H140:M140" si="39">G140+H179</f>
        <v>0</v>
      </c>
      <c r="I140" s="19">
        <f t="shared" si="39"/>
        <v>0</v>
      </c>
      <c r="J140" s="19">
        <f t="shared" si="39"/>
        <v>0</v>
      </c>
      <c r="K140" s="19">
        <f t="shared" si="39"/>
        <v>0</v>
      </c>
      <c r="L140" s="19">
        <f t="shared" si="39"/>
        <v>0</v>
      </c>
      <c r="M140" s="107">
        <f t="shared" si="39"/>
        <v>0</v>
      </c>
    </row>
    <row r="141" spans="2:13">
      <c r="B141" s="27" t="s">
        <v>153</v>
      </c>
      <c r="E141" s="31"/>
      <c r="G141" s="31">
        <v>15129</v>
      </c>
      <c r="H141" s="107">
        <f t="shared" ref="H141:M141" si="40">G141+H94-H180</f>
        <v>23459</v>
      </c>
      <c r="I141" s="19">
        <f t="shared" si="40"/>
        <v>38349.762910185651</v>
      </c>
      <c r="J141" s="19">
        <f t="shared" si="40"/>
        <v>54227.143198766978</v>
      </c>
      <c r="K141" s="19">
        <f t="shared" si="40"/>
        <v>75287.059512683118</v>
      </c>
      <c r="L141" s="19">
        <f t="shared" si="40"/>
        <v>101443.55761106091</v>
      </c>
      <c r="M141" s="107">
        <f t="shared" si="40"/>
        <v>135584.40165235748</v>
      </c>
    </row>
    <row r="142" spans="2:13">
      <c r="B142" s="27" t="s">
        <v>154</v>
      </c>
      <c r="E142" s="31"/>
      <c r="G142" s="31">
        <v>-9</v>
      </c>
      <c r="H142" s="107">
        <f t="shared" ref="H142:M142" si="41">G142+H181+H183</f>
        <v>179</v>
      </c>
      <c r="I142" s="19">
        <f t="shared" si="41"/>
        <v>179</v>
      </c>
      <c r="J142" s="19">
        <f t="shared" si="41"/>
        <v>179</v>
      </c>
      <c r="K142" s="19">
        <f t="shared" si="41"/>
        <v>179</v>
      </c>
      <c r="L142" s="19">
        <f t="shared" si="41"/>
        <v>179</v>
      </c>
      <c r="M142" s="107">
        <f t="shared" si="41"/>
        <v>179</v>
      </c>
    </row>
    <row r="143" spans="2:13">
      <c r="B143" s="139" t="s">
        <v>155</v>
      </c>
      <c r="C143" s="38"/>
      <c r="D143" s="38"/>
      <c r="E143" s="142"/>
      <c r="F143" s="38"/>
      <c r="G143" s="142">
        <f t="shared" ref="G143:M143" si="42">SUM(G138:G142)</f>
        <v>22297</v>
      </c>
      <c r="H143" s="143">
        <f t="shared" si="42"/>
        <v>32000</v>
      </c>
      <c r="I143" s="142">
        <f t="shared" si="42"/>
        <v>47742.762910185651</v>
      </c>
      <c r="J143" s="142">
        <f t="shared" si="42"/>
        <v>64651.063198766977</v>
      </c>
      <c r="K143" s="142">
        <f t="shared" si="42"/>
        <v>86968.701912683115</v>
      </c>
      <c r="L143" s="142">
        <f>SUM(L138:L142)</f>
        <v>114634.4668910609</v>
      </c>
      <c r="M143" s="143">
        <f t="shared" si="42"/>
        <v>150616.61652595748</v>
      </c>
    </row>
    <row r="144" spans="2:13">
      <c r="B144" s="7"/>
      <c r="H144" s="23"/>
      <c r="M144" s="23"/>
    </row>
    <row r="145" spans="2:13">
      <c r="B145" s="61" t="s">
        <v>156</v>
      </c>
      <c r="C145" s="62"/>
      <c r="D145" s="62"/>
      <c r="E145" s="157"/>
      <c r="F145" s="62"/>
      <c r="G145" s="157">
        <f t="shared" ref="G145:M145" si="43">G143+G135</f>
        <v>36171</v>
      </c>
      <c r="H145" s="158">
        <f t="shared" si="43"/>
        <v>47861</v>
      </c>
      <c r="I145" s="157">
        <f t="shared" si="43"/>
        <v>164276.40191477316</v>
      </c>
      <c r="J145" s="157">
        <f t="shared" si="43"/>
        <v>184013.01296296564</v>
      </c>
      <c r="K145" s="157">
        <f t="shared" si="43"/>
        <v>209606.59925452387</v>
      </c>
      <c r="L145" s="157">
        <f>L143+L135</f>
        <v>241099.15227914683</v>
      </c>
      <c r="M145" s="158">
        <f t="shared" si="43"/>
        <v>281990.23250716913</v>
      </c>
    </row>
    <row r="147" spans="2:13">
      <c r="B147" s="1" t="s">
        <v>157</v>
      </c>
      <c r="G147" s="159">
        <f>G122-G145</f>
        <v>309</v>
      </c>
      <c r="H147" s="159">
        <f t="shared" ref="H147:M147" si="44">H122-H145</f>
        <v>309</v>
      </c>
      <c r="I147" s="159">
        <f t="shared" si="44"/>
        <v>309</v>
      </c>
      <c r="J147" s="159">
        <f t="shared" si="44"/>
        <v>308.9999999999709</v>
      </c>
      <c r="K147" s="159">
        <f t="shared" si="44"/>
        <v>308.9999999999709</v>
      </c>
      <c r="L147" s="159">
        <f>L122-L145</f>
        <v>309</v>
      </c>
      <c r="M147" s="159">
        <f t="shared" si="44"/>
        <v>309</v>
      </c>
    </row>
    <row r="149" spans="2:13">
      <c r="B149" s="2" t="s">
        <v>158</v>
      </c>
      <c r="C149" s="3"/>
      <c r="D149" s="3"/>
      <c r="E149" s="4"/>
      <c r="F149" s="4"/>
      <c r="G149" s="4"/>
      <c r="H149" s="4"/>
      <c r="I149" s="4"/>
      <c r="J149" s="4"/>
      <c r="K149" s="4"/>
      <c r="L149" s="4"/>
      <c r="M149" s="5"/>
    </row>
    <row r="150" spans="2:13">
      <c r="B150" s="7"/>
      <c r="F150" s="45" t="str">
        <f t="shared" ref="F150:M150" si="45">F$24</f>
        <v>FY 2015</v>
      </c>
      <c r="G150" s="45" t="str">
        <f t="shared" si="45"/>
        <v>FY 2016</v>
      </c>
      <c r="H150" s="46" t="str">
        <f t="shared" si="45"/>
        <v>FY 2017</v>
      </c>
      <c r="I150" s="45" t="str">
        <f t="shared" si="45"/>
        <v>FY 2018E</v>
      </c>
      <c r="J150" s="45" t="str">
        <f t="shared" si="45"/>
        <v>FY 2019E</v>
      </c>
      <c r="K150" s="45" t="str">
        <f t="shared" si="45"/>
        <v>FY 2020E</v>
      </c>
      <c r="L150" s="45" t="str">
        <f t="shared" si="45"/>
        <v>FY 2021E</v>
      </c>
      <c r="M150" s="46" t="str">
        <f t="shared" si="45"/>
        <v>FY 2022E</v>
      </c>
    </row>
    <row r="151" spans="2:13">
      <c r="B151" s="131" t="s">
        <v>159</v>
      </c>
      <c r="C151" s="160"/>
      <c r="D151" s="160"/>
      <c r="E151" s="160"/>
      <c r="H151" s="161"/>
      <c r="M151" s="23"/>
    </row>
    <row r="152" spans="2:13">
      <c r="B152" s="9" t="s">
        <v>106</v>
      </c>
      <c r="F152" s="105">
        <f t="shared" ref="F152:M152" si="46">F94</f>
        <v>3817</v>
      </c>
      <c r="G152" s="105">
        <f t="shared" si="46"/>
        <v>6428</v>
      </c>
      <c r="H152" s="105">
        <f t="shared" si="46"/>
        <v>8330</v>
      </c>
      <c r="I152" s="162">
        <f t="shared" si="46"/>
        <v>14890.762910185649</v>
      </c>
      <c r="J152" s="105">
        <f t="shared" si="46"/>
        <v>15877.380288581329</v>
      </c>
      <c r="K152" s="105">
        <f t="shared" si="46"/>
        <v>21059.916313916143</v>
      </c>
      <c r="L152" s="105">
        <f t="shared" si="46"/>
        <v>26156.498098377797</v>
      </c>
      <c r="M152" s="105">
        <f t="shared" si="46"/>
        <v>34140.844041296572</v>
      </c>
    </row>
    <row r="153" spans="2:13">
      <c r="B153" s="118" t="s">
        <v>98</v>
      </c>
      <c r="E153" s="138"/>
      <c r="F153" s="19">
        <f t="shared" ref="F153:M155" si="47">F83</f>
        <v>327</v>
      </c>
      <c r="G153" s="19">
        <f t="shared" si="47"/>
        <v>496</v>
      </c>
      <c r="H153" s="19">
        <f t="shared" si="47"/>
        <v>734</v>
      </c>
      <c r="I153" s="163">
        <f t="shared" si="47"/>
        <v>880.8</v>
      </c>
      <c r="J153" s="19">
        <f t="shared" si="47"/>
        <v>1065.768</v>
      </c>
      <c r="K153" s="19">
        <f t="shared" si="47"/>
        <v>1300.23696</v>
      </c>
      <c r="L153" s="19">
        <f t="shared" si="47"/>
        <v>1560.2843519999997</v>
      </c>
      <c r="M153" s="19">
        <f t="shared" si="47"/>
        <v>1903.5469094399996</v>
      </c>
    </row>
    <row r="154" spans="2:13">
      <c r="B154" s="118" t="s">
        <v>83</v>
      </c>
      <c r="E154" s="138"/>
      <c r="F154" s="19">
        <f>F62</f>
        <v>0</v>
      </c>
      <c r="G154" s="19">
        <f>G62</f>
        <v>0</v>
      </c>
      <c r="H154" s="19">
        <f>H62</f>
        <v>0</v>
      </c>
      <c r="I154" s="163">
        <f t="shared" si="47"/>
        <v>40</v>
      </c>
      <c r="J154" s="19">
        <f t="shared" si="47"/>
        <v>37</v>
      </c>
      <c r="K154" s="19">
        <f t="shared" si="47"/>
        <v>28</v>
      </c>
      <c r="L154" s="19">
        <f t="shared" si="47"/>
        <v>13</v>
      </c>
      <c r="M154" s="19">
        <f t="shared" si="47"/>
        <v>10</v>
      </c>
    </row>
    <row r="155" spans="2:13">
      <c r="B155" s="118" t="s">
        <v>99</v>
      </c>
      <c r="E155" s="109"/>
      <c r="F155" s="19">
        <f>F85</f>
        <v>242</v>
      </c>
      <c r="G155" s="19">
        <f>G85</f>
        <v>516</v>
      </c>
      <c r="H155" s="19">
        <f>H85</f>
        <v>710</v>
      </c>
      <c r="I155" s="163">
        <f t="shared" si="47"/>
        <v>852</v>
      </c>
      <c r="J155" s="19">
        <f t="shared" si="47"/>
        <v>1030.92</v>
      </c>
      <c r="K155" s="19">
        <f t="shared" si="47"/>
        <v>1257.7224000000001</v>
      </c>
      <c r="L155" s="19">
        <f t="shared" si="47"/>
        <v>1509.2668799999999</v>
      </c>
      <c r="M155" s="19">
        <f t="shared" si="47"/>
        <v>1841.3055935999996</v>
      </c>
    </row>
    <row r="156" spans="2:13">
      <c r="B156" s="7" t="s">
        <v>160</v>
      </c>
      <c r="F156" s="31">
        <v>73</v>
      </c>
      <c r="G156" s="31">
        <v>398</v>
      </c>
      <c r="H156" s="12">
        <v>1040</v>
      </c>
      <c r="I156" s="31">
        <v>0</v>
      </c>
      <c r="J156" s="28">
        <f t="shared" ref="J156:M157" si="48">I156</f>
        <v>0</v>
      </c>
      <c r="K156" s="28">
        <f t="shared" si="48"/>
        <v>0</v>
      </c>
      <c r="L156" s="28">
        <f t="shared" si="48"/>
        <v>0</v>
      </c>
      <c r="M156" s="117">
        <f t="shared" si="48"/>
        <v>0</v>
      </c>
    </row>
    <row r="157" spans="2:13">
      <c r="B157" s="118" t="s">
        <v>161</v>
      </c>
      <c r="E157" s="138"/>
      <c r="F157" s="31">
        <v>12</v>
      </c>
      <c r="G157" s="31">
        <v>22</v>
      </c>
      <c r="H157" s="12">
        <v>26</v>
      </c>
      <c r="I157" s="31">
        <v>0</v>
      </c>
      <c r="J157" s="28">
        <f t="shared" si="48"/>
        <v>0</v>
      </c>
      <c r="K157" s="28">
        <f t="shared" si="48"/>
        <v>0</v>
      </c>
      <c r="L157" s="28">
        <f t="shared" si="48"/>
        <v>0</v>
      </c>
      <c r="M157" s="117">
        <f t="shared" si="48"/>
        <v>0</v>
      </c>
    </row>
    <row r="158" spans="2:13">
      <c r="B158" s="114" t="s">
        <v>162</v>
      </c>
      <c r="E158" s="138"/>
      <c r="H158" s="23"/>
      <c r="M158" s="23"/>
    </row>
    <row r="159" spans="2:13">
      <c r="B159" s="27" t="s">
        <v>127</v>
      </c>
      <c r="E159" s="109"/>
      <c r="F159" s="31">
        <v>-385</v>
      </c>
      <c r="G159" s="31">
        <v>-785</v>
      </c>
      <c r="H159" s="117">
        <f t="shared" ref="H159:M160" si="49">G110-H110</f>
        <v>-939</v>
      </c>
      <c r="I159" s="164">
        <f t="shared" si="49"/>
        <v>-672.19999999999982</v>
      </c>
      <c r="J159" s="28">
        <f t="shared" si="49"/>
        <v>-846.97199999999975</v>
      </c>
      <c r="K159" s="28">
        <f t="shared" si="49"/>
        <v>-1073.6378400000003</v>
      </c>
      <c r="L159" s="28">
        <f t="shared" si="49"/>
        <v>-1190.7619679999989</v>
      </c>
      <c r="M159" s="117">
        <f t="shared" si="49"/>
        <v>-1571.8057977599983</v>
      </c>
    </row>
    <row r="160" spans="2:13">
      <c r="B160" s="27" t="s">
        <v>128</v>
      </c>
      <c r="E160" s="115"/>
      <c r="F160" s="31">
        <v>-76</v>
      </c>
      <c r="G160" s="31">
        <v>-163</v>
      </c>
      <c r="H160" s="117">
        <f t="shared" si="49"/>
        <v>54</v>
      </c>
      <c r="I160" s="164">
        <f t="shared" si="49"/>
        <v>28.537440932963023</v>
      </c>
      <c r="J160" s="28">
        <f t="shared" si="49"/>
        <v>-83.948227659826557</v>
      </c>
      <c r="K160" s="28">
        <f t="shared" si="49"/>
        <v>-108.18465114711807</v>
      </c>
      <c r="L160" s="28">
        <f t="shared" si="49"/>
        <v>-120.43451002856261</v>
      </c>
      <c r="M160" s="117">
        <f t="shared" si="49"/>
        <v>-152.56862702254739</v>
      </c>
    </row>
    <row r="161" spans="2:13">
      <c r="B161" s="27" t="s">
        <v>130</v>
      </c>
      <c r="E161" s="109"/>
      <c r="F161" s="31">
        <v>-1279</v>
      </c>
      <c r="G161" s="31">
        <v>-274</v>
      </c>
      <c r="H161" s="117">
        <f t="shared" ref="H161:M161" si="50">G113-H113</f>
        <v>780</v>
      </c>
      <c r="I161" s="164">
        <f t="shared" si="50"/>
        <v>0</v>
      </c>
      <c r="J161" s="28">
        <f t="shared" si="50"/>
        <v>0</v>
      </c>
      <c r="K161" s="28">
        <f t="shared" si="50"/>
        <v>0</v>
      </c>
      <c r="L161" s="28">
        <f t="shared" si="50"/>
        <v>0</v>
      </c>
      <c r="M161" s="117">
        <f t="shared" si="50"/>
        <v>0</v>
      </c>
    </row>
    <row r="162" spans="2:13">
      <c r="B162" s="147" t="s">
        <v>137</v>
      </c>
      <c r="E162" s="138"/>
      <c r="F162" s="31">
        <v>285</v>
      </c>
      <c r="G162" s="31">
        <v>289</v>
      </c>
      <c r="H162" s="117">
        <f t="shared" ref="H162:M162" si="51">G121-H121</f>
        <v>-1172</v>
      </c>
      <c r="I162" s="164">
        <f t="shared" si="51"/>
        <v>0</v>
      </c>
      <c r="J162" s="28">
        <f t="shared" si="51"/>
        <v>0</v>
      </c>
      <c r="K162" s="28">
        <f t="shared" si="51"/>
        <v>0</v>
      </c>
      <c r="L162" s="28">
        <f t="shared" si="51"/>
        <v>0</v>
      </c>
      <c r="M162" s="117">
        <f t="shared" si="51"/>
        <v>0</v>
      </c>
    </row>
    <row r="163" spans="2:13">
      <c r="B163" s="27" t="s">
        <v>141</v>
      </c>
      <c r="E163" s="109"/>
      <c r="F163" s="31">
        <v>1494</v>
      </c>
      <c r="G163" s="31">
        <v>596</v>
      </c>
      <c r="H163" s="117">
        <f t="shared" ref="H163:M163" si="52">H126-G126</f>
        <v>81</v>
      </c>
      <c r="I163" s="164">
        <f t="shared" si="52"/>
        <v>-351.29276190225482</v>
      </c>
      <c r="J163" s="28">
        <f t="shared" si="52"/>
        <v>1033.3934574125024</v>
      </c>
      <c r="K163" s="28">
        <f t="shared" si="52"/>
        <v>1331.7411671978207</v>
      </c>
      <c r="L163" s="28">
        <f t="shared" si="52"/>
        <v>1482.535583890065</v>
      </c>
      <c r="M163" s="117">
        <f t="shared" si="52"/>
        <v>1878.1030328643683</v>
      </c>
    </row>
    <row r="164" spans="2:13">
      <c r="B164" s="27" t="s">
        <v>143</v>
      </c>
      <c r="E164" s="138"/>
      <c r="F164" s="31">
        <v>566</v>
      </c>
      <c r="G164" s="31">
        <v>718</v>
      </c>
      <c r="H164" s="117">
        <f t="shared" ref="H164:M164" si="53">H128-G128+H132-G132</f>
        <v>521</v>
      </c>
      <c r="I164" s="164">
        <f t="shared" si="53"/>
        <v>581.19999999999982</v>
      </c>
      <c r="J164" s="28">
        <f t="shared" si="53"/>
        <v>732.31200000000024</v>
      </c>
      <c r="K164" s="28">
        <f t="shared" si="53"/>
        <v>928.29264000000012</v>
      </c>
      <c r="L164" s="28">
        <f t="shared" si="53"/>
        <v>1029.5609279999985</v>
      </c>
      <c r="M164" s="117">
        <f t="shared" si="53"/>
        <v>1359.0204249599994</v>
      </c>
    </row>
    <row r="165" spans="2:13">
      <c r="B165" s="27" t="s">
        <v>163</v>
      </c>
      <c r="F165" s="31">
        <v>716</v>
      </c>
      <c r="G165" s="31">
        <v>1664</v>
      </c>
      <c r="H165" s="117">
        <f t="shared" ref="H165:M165" si="54">H127-G127+H134-G134</f>
        <v>1385</v>
      </c>
      <c r="I165" s="164">
        <f t="shared" si="54"/>
        <v>442.7317664897646</v>
      </c>
      <c r="J165" s="28">
        <f t="shared" si="54"/>
        <v>1062.6053021986363</v>
      </c>
      <c r="K165" s="28">
        <f t="shared" si="54"/>
        <v>1015.9137704442755</v>
      </c>
      <c r="L165" s="28">
        <f t="shared" si="54"/>
        <v>1314.6915343551163</v>
      </c>
      <c r="M165" s="117">
        <f t="shared" si="54"/>
        <v>1671.8071353013656</v>
      </c>
    </row>
    <row r="166" spans="2:13">
      <c r="B166" s="112" t="s">
        <v>164</v>
      </c>
      <c r="C166" s="38"/>
      <c r="D166" s="38"/>
      <c r="E166" s="36"/>
      <c r="F166" s="36">
        <f t="shared" ref="F166:M166" si="55">SUM(F159:F165)+SUM(F152:F157)</f>
        <v>5792</v>
      </c>
      <c r="G166" s="36">
        <f t="shared" si="55"/>
        <v>9905</v>
      </c>
      <c r="H166" s="113">
        <f t="shared" si="55"/>
        <v>11550</v>
      </c>
      <c r="I166" s="165">
        <f t="shared" si="55"/>
        <v>16692.539355706118</v>
      </c>
      <c r="J166" s="36">
        <f t="shared" si="55"/>
        <v>19908.458820532644</v>
      </c>
      <c r="K166" s="36">
        <f t="shared" si="55"/>
        <v>25740.000760411116</v>
      </c>
      <c r="L166" s="36">
        <f t="shared" si="55"/>
        <v>31754.640898594414</v>
      </c>
      <c r="M166" s="113">
        <f t="shared" si="55"/>
        <v>41080.252712679765</v>
      </c>
    </row>
    <row r="167" spans="2:13">
      <c r="B167" s="27"/>
      <c r="H167" s="23"/>
      <c r="I167" s="28"/>
      <c r="M167" s="23"/>
    </row>
    <row r="168" spans="2:13">
      <c r="B168" s="131" t="s">
        <v>165</v>
      </c>
      <c r="C168" s="132"/>
      <c r="D168" s="132"/>
      <c r="E168" s="166"/>
      <c r="H168" s="167"/>
      <c r="M168" s="23"/>
    </row>
    <row r="169" spans="2:13">
      <c r="B169" s="118" t="s">
        <v>166</v>
      </c>
      <c r="E169" s="168"/>
      <c r="F169" s="31">
        <v>-11719</v>
      </c>
      <c r="G169" s="31">
        <v>-22965</v>
      </c>
      <c r="H169" s="12">
        <v>-46724</v>
      </c>
      <c r="I169" s="31">
        <v>0</v>
      </c>
      <c r="J169" s="28">
        <f>I169</f>
        <v>0</v>
      </c>
      <c r="K169" s="28">
        <f>J169</f>
        <v>0</v>
      </c>
      <c r="L169" s="28">
        <f>K169</f>
        <v>0</v>
      </c>
      <c r="M169" s="117">
        <f>L169</f>
        <v>0</v>
      </c>
    </row>
    <row r="170" spans="2:13">
      <c r="B170" s="118" t="s">
        <v>167</v>
      </c>
      <c r="F170" s="28">
        <f>6483+2941</f>
        <v>9424</v>
      </c>
      <c r="G170" s="28">
        <f>11804+4439</f>
        <v>16243</v>
      </c>
      <c r="H170" s="117">
        <f>19790+10888</f>
        <v>30678</v>
      </c>
      <c r="I170" s="31">
        <v>0</v>
      </c>
      <c r="J170" s="28">
        <f t="shared" ref="J170:M174" si="56">I170</f>
        <v>0</v>
      </c>
      <c r="K170" s="28">
        <f t="shared" si="56"/>
        <v>0</v>
      </c>
      <c r="L170" s="28">
        <f t="shared" si="56"/>
        <v>0</v>
      </c>
      <c r="M170" s="117">
        <f t="shared" si="56"/>
        <v>0</v>
      </c>
    </row>
    <row r="171" spans="2:13">
      <c r="B171" s="118" t="s">
        <v>168</v>
      </c>
      <c r="F171" s="31">
        <v>-17</v>
      </c>
      <c r="G171" s="31">
        <v>-38</v>
      </c>
      <c r="H171" s="12">
        <v>-101</v>
      </c>
      <c r="I171" s="31">
        <v>0</v>
      </c>
      <c r="J171" s="28">
        <f t="shared" si="56"/>
        <v>0</v>
      </c>
      <c r="K171" s="28">
        <f t="shared" si="56"/>
        <v>0</v>
      </c>
      <c r="L171" s="28">
        <f t="shared" si="56"/>
        <v>0</v>
      </c>
      <c r="M171" s="117">
        <f t="shared" si="56"/>
        <v>0</v>
      </c>
    </row>
    <row r="172" spans="2:13">
      <c r="B172" s="118" t="s">
        <v>169</v>
      </c>
      <c r="F172" s="31">
        <v>-735</v>
      </c>
      <c r="G172" s="31">
        <v>-1091</v>
      </c>
      <c r="H172" s="12">
        <v>-1144</v>
      </c>
      <c r="I172" s="164">
        <f>-I70*I75</f>
        <v>-1372.8</v>
      </c>
      <c r="J172" s="28">
        <f>-J70*J75</f>
        <v>-1661.088</v>
      </c>
      <c r="K172" s="28">
        <f>-K70*K75</f>
        <v>-2026.52736</v>
      </c>
      <c r="L172" s="28">
        <f>-L70*L75</f>
        <v>-2431.8328319999996</v>
      </c>
      <c r="M172" s="117">
        <f>-M70*M75</f>
        <v>-2966.8360550399993</v>
      </c>
    </row>
    <row r="173" spans="2:13">
      <c r="B173" s="118" t="s">
        <v>170</v>
      </c>
      <c r="F173" s="31">
        <v>-251</v>
      </c>
      <c r="G173" s="31">
        <v>-108</v>
      </c>
      <c r="H173" s="12">
        <v>-69</v>
      </c>
      <c r="I173" s="31">
        <v>0</v>
      </c>
      <c r="J173" s="28">
        <f t="shared" si="56"/>
        <v>0</v>
      </c>
      <c r="K173" s="28">
        <f t="shared" si="56"/>
        <v>0</v>
      </c>
      <c r="L173" s="28">
        <f t="shared" si="56"/>
        <v>0</v>
      </c>
      <c r="M173" s="117">
        <f t="shared" si="56"/>
        <v>0</v>
      </c>
    </row>
    <row r="174" spans="2:13">
      <c r="B174" s="118" t="s">
        <v>171</v>
      </c>
      <c r="F174" s="31">
        <v>49</v>
      </c>
      <c r="G174" s="31">
        <f>-10-220</f>
        <v>-230</v>
      </c>
      <c r="H174" s="12">
        <v>-74</v>
      </c>
      <c r="I174" s="31">
        <v>0</v>
      </c>
      <c r="J174" s="28">
        <f t="shared" si="56"/>
        <v>0</v>
      </c>
      <c r="K174" s="28">
        <f t="shared" si="56"/>
        <v>0</v>
      </c>
      <c r="L174" s="28">
        <f t="shared" si="56"/>
        <v>0</v>
      </c>
      <c r="M174" s="117">
        <f t="shared" si="56"/>
        <v>0</v>
      </c>
    </row>
    <row r="175" spans="2:13">
      <c r="B175" s="112" t="s">
        <v>172</v>
      </c>
      <c r="C175" s="38"/>
      <c r="D175" s="38"/>
      <c r="E175" s="36"/>
      <c r="F175" s="36">
        <f t="shared" ref="F175:M175" si="57">SUM(F169:F174)</f>
        <v>-3249</v>
      </c>
      <c r="G175" s="36">
        <f t="shared" si="57"/>
        <v>-8189</v>
      </c>
      <c r="H175" s="113">
        <f t="shared" si="57"/>
        <v>-17434</v>
      </c>
      <c r="I175" s="36">
        <f t="shared" si="57"/>
        <v>-1372.8</v>
      </c>
      <c r="J175" s="36">
        <f t="shared" si="57"/>
        <v>-1661.088</v>
      </c>
      <c r="K175" s="36">
        <f t="shared" si="57"/>
        <v>-2026.52736</v>
      </c>
      <c r="L175" s="36">
        <f t="shared" si="57"/>
        <v>-2431.8328319999996</v>
      </c>
      <c r="M175" s="113">
        <f t="shared" si="57"/>
        <v>-2966.8360550399993</v>
      </c>
    </row>
    <row r="176" spans="2:13">
      <c r="B176" s="118"/>
      <c r="H176" s="23"/>
      <c r="I176" s="28"/>
      <c r="M176" s="23"/>
    </row>
    <row r="177" spans="2:13">
      <c r="B177" s="131" t="s">
        <v>173</v>
      </c>
      <c r="C177" s="132"/>
      <c r="D177" s="132"/>
      <c r="E177" s="132"/>
      <c r="H177" s="167"/>
      <c r="M177" s="23"/>
    </row>
    <row r="178" spans="2:13">
      <c r="B178" s="7" t="s">
        <v>174</v>
      </c>
      <c r="F178" s="31">
        <v>365</v>
      </c>
      <c r="G178" s="31">
        <v>483</v>
      </c>
      <c r="H178" s="12">
        <v>475</v>
      </c>
      <c r="I178" s="31">
        <v>0</v>
      </c>
      <c r="J178" s="28">
        <f>I178</f>
        <v>0</v>
      </c>
      <c r="K178" s="28">
        <f>J178</f>
        <v>0</v>
      </c>
      <c r="L178" s="28">
        <f>K178</f>
        <v>0</v>
      </c>
      <c r="M178" s="117">
        <f>L178</f>
        <v>0</v>
      </c>
    </row>
    <row r="179" spans="2:13">
      <c r="B179" s="7" t="s">
        <v>175</v>
      </c>
      <c r="F179" s="31">
        <v>0</v>
      </c>
      <c r="G179" s="31">
        <v>0</v>
      </c>
      <c r="H179" s="12">
        <v>0</v>
      </c>
      <c r="I179" s="31">
        <v>0</v>
      </c>
      <c r="J179" s="28">
        <f>I179</f>
        <v>0</v>
      </c>
      <c r="K179" s="28">
        <f t="shared" ref="J179:M183" si="58">J179</f>
        <v>0</v>
      </c>
      <c r="L179" s="28">
        <f t="shared" si="58"/>
        <v>0</v>
      </c>
      <c r="M179" s="117">
        <f t="shared" si="58"/>
        <v>0</v>
      </c>
    </row>
    <row r="180" spans="2:13">
      <c r="B180" s="7" t="s">
        <v>176</v>
      </c>
      <c r="F180" s="31">
        <v>0</v>
      </c>
      <c r="G180" s="31">
        <v>0</v>
      </c>
      <c r="H180" s="12">
        <v>0</v>
      </c>
      <c r="I180" s="31">
        <v>0</v>
      </c>
      <c r="J180" s="28">
        <f t="shared" si="58"/>
        <v>0</v>
      </c>
      <c r="K180" s="28">
        <f t="shared" si="58"/>
        <v>0</v>
      </c>
      <c r="L180" s="28">
        <f t="shared" si="58"/>
        <v>0</v>
      </c>
      <c r="M180" s="117">
        <f t="shared" si="58"/>
        <v>0</v>
      </c>
    </row>
    <row r="181" spans="2:13">
      <c r="B181" s="7" t="s">
        <v>177</v>
      </c>
      <c r="F181" s="31">
        <v>377</v>
      </c>
      <c r="G181" s="31">
        <v>757</v>
      </c>
      <c r="H181" s="12">
        <v>270</v>
      </c>
      <c r="I181" s="31">
        <v>0</v>
      </c>
      <c r="J181" s="28">
        <f t="shared" si="58"/>
        <v>0</v>
      </c>
      <c r="K181" s="28">
        <f t="shared" si="58"/>
        <v>0</v>
      </c>
      <c r="L181" s="28">
        <f t="shared" si="58"/>
        <v>0</v>
      </c>
      <c r="M181" s="117">
        <f t="shared" si="58"/>
        <v>0</v>
      </c>
    </row>
    <row r="182" spans="2:13">
      <c r="B182" s="7" t="s">
        <v>178</v>
      </c>
      <c r="F182" s="31">
        <v>0</v>
      </c>
      <c r="G182" s="31">
        <v>0</v>
      </c>
      <c r="H182" s="12">
        <v>0</v>
      </c>
      <c r="I182" s="28">
        <f>IF(I23=Debt_Date,Debt_Amount,0)</f>
        <v>100000</v>
      </c>
      <c r="J182" s="28">
        <f>IF(J23=Debt_Date,Debt_Amount,0)</f>
        <v>0</v>
      </c>
      <c r="K182" s="28">
        <f>IF(K23=Debt_Date,Debt_Amount,0)</f>
        <v>0</v>
      </c>
      <c r="L182" s="28">
        <f>IF(L23=Debt_Date,Debt_Amount,0)</f>
        <v>0</v>
      </c>
      <c r="M182" s="117">
        <f>IF(M23=Debt_Date,Debt_Amount,0)</f>
        <v>0</v>
      </c>
    </row>
    <row r="183" spans="2:13">
      <c r="B183" s="7" t="s">
        <v>179</v>
      </c>
      <c r="F183" s="31">
        <v>-3</v>
      </c>
      <c r="G183" s="31">
        <v>-124</v>
      </c>
      <c r="H183" s="12">
        <v>-82</v>
      </c>
      <c r="I183" s="31">
        <v>0</v>
      </c>
      <c r="J183" s="28">
        <f t="shared" si="58"/>
        <v>0</v>
      </c>
      <c r="K183" s="28">
        <f t="shared" si="58"/>
        <v>0</v>
      </c>
      <c r="L183" s="28">
        <f t="shared" si="58"/>
        <v>0</v>
      </c>
      <c r="M183" s="117">
        <f t="shared" si="58"/>
        <v>0</v>
      </c>
    </row>
    <row r="184" spans="2:13">
      <c r="B184" s="112" t="s">
        <v>180</v>
      </c>
      <c r="C184" s="38"/>
      <c r="D184" s="38"/>
      <c r="E184" s="36"/>
      <c r="F184" s="36">
        <f t="shared" ref="F184:M184" si="59">SUM(F178:F183)</f>
        <v>739</v>
      </c>
      <c r="G184" s="36">
        <f t="shared" si="59"/>
        <v>1116</v>
      </c>
      <c r="H184" s="113">
        <f t="shared" si="59"/>
        <v>663</v>
      </c>
      <c r="I184" s="36">
        <f t="shared" si="59"/>
        <v>100000</v>
      </c>
      <c r="J184" s="36">
        <f t="shared" si="59"/>
        <v>0</v>
      </c>
      <c r="K184" s="36">
        <f t="shared" si="59"/>
        <v>0</v>
      </c>
      <c r="L184" s="36">
        <f t="shared" si="59"/>
        <v>0</v>
      </c>
      <c r="M184" s="113">
        <f t="shared" si="59"/>
        <v>0</v>
      </c>
    </row>
    <row r="185" spans="2:13">
      <c r="B185" s="7"/>
      <c r="H185" s="23"/>
      <c r="M185" s="23"/>
    </row>
    <row r="186" spans="2:13">
      <c r="B186" s="9" t="s">
        <v>181</v>
      </c>
      <c r="F186" s="109">
        <f t="shared" ref="F186:M186" si="60">F184+F175+F166</f>
        <v>3282</v>
      </c>
      <c r="G186" s="109">
        <f t="shared" si="60"/>
        <v>2832</v>
      </c>
      <c r="H186" s="110">
        <f t="shared" si="60"/>
        <v>-5221</v>
      </c>
      <c r="I186" s="109">
        <f t="shared" si="60"/>
        <v>115319.73935570612</v>
      </c>
      <c r="J186" s="109">
        <f t="shared" si="60"/>
        <v>18247.370820532644</v>
      </c>
      <c r="K186" s="109">
        <f t="shared" si="60"/>
        <v>23713.473400411116</v>
      </c>
      <c r="L186" s="109">
        <f t="shared" si="60"/>
        <v>29322.808066594414</v>
      </c>
      <c r="M186" s="110">
        <f t="shared" si="60"/>
        <v>38113.416657639769</v>
      </c>
    </row>
    <row r="187" spans="2:13">
      <c r="B187" s="61" t="s">
        <v>182</v>
      </c>
      <c r="C187" s="62"/>
      <c r="D187" s="62"/>
      <c r="E187" s="62"/>
      <c r="F187" s="169">
        <v>9352</v>
      </c>
      <c r="G187" s="170">
        <f>F187+G186</f>
        <v>12184</v>
      </c>
      <c r="H187" s="171">
        <f t="shared" ref="H187:M187" si="61">G108+H186</f>
        <v>6963</v>
      </c>
      <c r="I187" s="170">
        <f t="shared" si="61"/>
        <v>122282.73935570612</v>
      </c>
      <c r="J187" s="170">
        <f t="shared" si="61"/>
        <v>140530.11017623876</v>
      </c>
      <c r="K187" s="170">
        <f t="shared" si="61"/>
        <v>164243.58357664986</v>
      </c>
      <c r="L187" s="170">
        <f t="shared" si="61"/>
        <v>193566.39164324428</v>
      </c>
      <c r="M187" s="171">
        <f t="shared" si="61"/>
        <v>231679.80830088403</v>
      </c>
    </row>
  </sheetData>
  <mergeCells count="4">
    <mergeCell ref="B1:M1"/>
    <mergeCell ref="P25:Q25"/>
    <mergeCell ref="P31:Q31"/>
    <mergeCell ref="P37:Q37"/>
  </mergeCells>
  <phoneticPr fontId="31" type="noConversion"/>
  <dataValidations count="1">
    <dataValidation type="list" allowBlank="1" showInputMessage="1" showErrorMessage="1" sqref="L15" xr:uid="{956BB315-EC89-46FA-8387-EBA75C9B8B34}">
      <formula1>"1, 2, 3"</formula1>
    </dataValidation>
  </dataValidations>
  <pageMargins left="0.7" right="0.7" top="0.75" bottom="0.75" header="0.3" footer="0.3"/>
  <pageSetup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4B92-6388-7D44-A518-C432CCCD893C}">
  <sheetPr>
    <tabColor rgb="FF92D050"/>
  </sheetPr>
  <dimension ref="A1:B4"/>
  <sheetViews>
    <sheetView zoomScale="150" workbookViewId="0">
      <selection activeCell="H5" sqref="H5"/>
    </sheetView>
  </sheetViews>
  <sheetFormatPr defaultColWidth="11" defaultRowHeight="15.6"/>
  <sheetData>
    <row r="1" spans="1:2">
      <c r="A1" t="s">
        <v>52</v>
      </c>
      <c r="B1" t="s">
        <v>48</v>
      </c>
    </row>
    <row r="2" spans="1:2">
      <c r="A2">
        <v>1</v>
      </c>
      <c r="B2" s="183">
        <v>19522.810000000001</v>
      </c>
    </row>
    <row r="3" spans="1:2">
      <c r="A3">
        <v>2</v>
      </c>
      <c r="B3" s="183">
        <v>38500.879999999997</v>
      </c>
    </row>
    <row r="4" spans="1:2">
      <c r="A4">
        <v>3</v>
      </c>
      <c r="B4" s="184">
        <v>57253.66</v>
      </c>
    </row>
  </sheetData>
  <pageMargins left="0.7" right="0.7" top="0.75" bottom="0.75" header="0.3" footer="0.3"/>
  <pageSetup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9260-21CF-8645-98DC-F423E091BC90}">
  <sheetPr>
    <tabColor rgb="FF00B0F0"/>
  </sheetPr>
  <dimension ref="A1:B4"/>
  <sheetViews>
    <sheetView workbookViewId="0">
      <selection activeCell="E39" sqref="E39"/>
    </sheetView>
  </sheetViews>
  <sheetFormatPr defaultColWidth="11" defaultRowHeight="15.6"/>
  <sheetData>
    <row r="1" spans="1:2">
      <c r="A1" t="s">
        <v>52</v>
      </c>
      <c r="B1" t="s">
        <v>49</v>
      </c>
    </row>
    <row r="2" spans="1:2">
      <c r="A2">
        <v>1</v>
      </c>
      <c r="B2" s="14">
        <v>0.14000000000000001</v>
      </c>
    </row>
    <row r="3" spans="1:2">
      <c r="A3">
        <v>2</v>
      </c>
      <c r="B3" s="14">
        <v>0.19</v>
      </c>
    </row>
    <row r="4" spans="1:2">
      <c r="A4">
        <v>3</v>
      </c>
      <c r="B4" s="14">
        <v>0.23</v>
      </c>
    </row>
  </sheetData>
  <pageMargins left="0.7" right="0.7" top="0.75" bottom="0.75" header="0.3" footer="0.3"/>
  <pageSetup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FC89-9A17-0A4B-B624-EFC427FC7EB1}">
  <sheetPr>
    <tabColor rgb="FFFFC000"/>
  </sheetPr>
  <dimension ref="A1:B4"/>
  <sheetViews>
    <sheetView workbookViewId="0">
      <selection sqref="A1:B4"/>
    </sheetView>
  </sheetViews>
  <sheetFormatPr defaultColWidth="11" defaultRowHeight="15.6"/>
  <cols>
    <col min="2" max="2" width="13.5" customWidth="1"/>
  </cols>
  <sheetData>
    <row r="1" spans="1:2">
      <c r="A1" t="s">
        <v>41</v>
      </c>
      <c r="B1" t="s">
        <v>183</v>
      </c>
    </row>
    <row r="2" spans="1:2">
      <c r="A2">
        <v>1</v>
      </c>
      <c r="B2" s="185">
        <v>80098</v>
      </c>
    </row>
    <row r="3" spans="1:2">
      <c r="A3">
        <v>2</v>
      </c>
      <c r="B3" s="185">
        <v>106053</v>
      </c>
    </row>
    <row r="4" spans="1:2">
      <c r="A4">
        <v>3</v>
      </c>
      <c r="B4" s="185">
        <v>130700</v>
      </c>
    </row>
  </sheetData>
  <pageMargins left="0.7" right="0.7" top="0.75" bottom="0.75" header="0.3" footer="0.3"/>
  <pageSetup orientation="portrait" horizontalDpi="0" verticalDpi="0"/>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6090C-A745-4219-9C37-19996CA7E04E}">
  <sheetPr>
    <tabColor theme="2" tint="-0.249977111117893"/>
  </sheetPr>
  <dimension ref="B1:D6"/>
  <sheetViews>
    <sheetView workbookViewId="0">
      <selection activeCell="A6" sqref="A6"/>
    </sheetView>
  </sheetViews>
  <sheetFormatPr defaultColWidth="8.8984375" defaultRowHeight="15.6"/>
  <cols>
    <col min="2" max="4" width="11.59765625" bestFit="1" customWidth="1"/>
    <col min="5" max="7" width="10.09765625" customWidth="1"/>
  </cols>
  <sheetData>
    <row r="1" spans="2:4">
      <c r="B1" t="s">
        <v>3</v>
      </c>
      <c r="C1" t="s">
        <v>13</v>
      </c>
      <c r="D1" t="s">
        <v>66</v>
      </c>
    </row>
    <row r="2" spans="2:4">
      <c r="B2" s="14">
        <v>0.1</v>
      </c>
      <c r="C2" s="14">
        <v>0.15</v>
      </c>
      <c r="D2" s="14">
        <v>0.2</v>
      </c>
    </row>
    <row r="3" spans="2:4">
      <c r="B3" s="14">
        <v>0.11</v>
      </c>
      <c r="C3" s="14">
        <v>0.16</v>
      </c>
      <c r="D3" s="14">
        <v>0.21</v>
      </c>
    </row>
    <row r="4" spans="2:4">
      <c r="B4" s="14">
        <v>0.12</v>
      </c>
      <c r="C4" s="14">
        <v>0.17</v>
      </c>
      <c r="D4" s="14">
        <v>0.22</v>
      </c>
    </row>
    <row r="5" spans="2:4">
      <c r="B5" s="14">
        <v>0.1</v>
      </c>
      <c r="C5" s="14">
        <v>0.15</v>
      </c>
      <c r="D5" s="14">
        <v>0.2</v>
      </c>
    </row>
    <row r="6" spans="2:4">
      <c r="B6" s="14">
        <v>0.13</v>
      </c>
      <c r="C6" s="14">
        <v>0.17</v>
      </c>
      <c r="D6" s="14">
        <v>0.22</v>
      </c>
    </row>
  </sheetData>
  <pageMargins left="0.7" right="0.7" top="0.75" bottom="0.75" header="0.3" footer="0.3"/>
  <pageSetup orientation="portrait" horizontalDpi="0" verticalDpi="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4332-03F3-4EC7-89DF-3F744A38F4A4}">
  <sheetPr>
    <tabColor rgb="FF92D050"/>
  </sheetPr>
  <dimension ref="B1:D6"/>
  <sheetViews>
    <sheetView workbookViewId="0">
      <selection activeCell="M38" sqref="M38"/>
    </sheetView>
  </sheetViews>
  <sheetFormatPr defaultColWidth="8.8984375" defaultRowHeight="15.6"/>
  <cols>
    <col min="2" max="4" width="11.59765625" bestFit="1" customWidth="1"/>
    <col min="5" max="7" width="10.09765625" customWidth="1"/>
  </cols>
  <sheetData>
    <row r="1" spans="2:4">
      <c r="B1" t="s">
        <v>3</v>
      </c>
      <c r="C1" t="s">
        <v>13</v>
      </c>
      <c r="D1" t="s">
        <v>66</v>
      </c>
    </row>
    <row r="2" spans="2:4">
      <c r="B2" s="186">
        <v>0.505</v>
      </c>
      <c r="C2" s="186">
        <v>0.48</v>
      </c>
      <c r="D2" s="186">
        <v>0.46</v>
      </c>
    </row>
    <row r="3" spans="2:4">
      <c r="B3" s="186">
        <v>0.51249999999999996</v>
      </c>
      <c r="C3" s="186">
        <v>0.48499999999999999</v>
      </c>
      <c r="D3" s="186">
        <v>0.45500000000000002</v>
      </c>
    </row>
    <row r="4" spans="2:4">
      <c r="B4" s="186">
        <v>0.52</v>
      </c>
      <c r="C4" s="186">
        <v>0.47499999999999998</v>
      </c>
      <c r="D4" s="186">
        <v>0.45200000000000001</v>
      </c>
    </row>
    <row r="5" spans="2:4">
      <c r="B5" s="186">
        <v>0.52749999999999997</v>
      </c>
      <c r="C5" s="186">
        <v>0.47</v>
      </c>
      <c r="D5" s="186">
        <v>0.45</v>
      </c>
    </row>
    <row r="6" spans="2:4">
      <c r="B6" s="186">
        <v>0.53500000000000003</v>
      </c>
      <c r="C6" s="186">
        <v>0.46500000000000002</v>
      </c>
      <c r="D6" s="186">
        <v>0.44500000000000001</v>
      </c>
    </row>
  </sheetData>
  <pageMargins left="0.7" right="0.7" top="0.75" bottom="0.75" header="0.3" footer="0.3"/>
  <pageSetup orientation="portrait" horizontalDpi="0" verticalDpi="0"/>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7767-F7B1-5F42-8F49-129B05241DAA}">
  <sheetPr>
    <tabColor rgb="FF7030A0"/>
  </sheetPr>
  <dimension ref="B1:D6"/>
  <sheetViews>
    <sheetView workbookViewId="0">
      <selection activeCell="K7" sqref="K7"/>
    </sheetView>
  </sheetViews>
  <sheetFormatPr defaultColWidth="8.8984375" defaultRowHeight="15.6"/>
  <cols>
    <col min="2" max="4" width="11.59765625" bestFit="1" customWidth="1"/>
    <col min="5" max="7" width="10.09765625" customWidth="1"/>
  </cols>
  <sheetData>
    <row r="1" spans="2:4">
      <c r="B1" t="s">
        <v>3</v>
      </c>
      <c r="C1" t="s">
        <v>13</v>
      </c>
      <c r="D1" t="s">
        <v>66</v>
      </c>
    </row>
    <row r="2" spans="2:4">
      <c r="B2" s="187">
        <v>0.02</v>
      </c>
      <c r="C2" s="187">
        <v>1.7500000000000002E-2</v>
      </c>
      <c r="D2" s="187">
        <v>1.4999999999999999E-2</v>
      </c>
    </row>
    <row r="3" spans="2:4">
      <c r="B3" s="187">
        <v>1.9300000000000001E-2</v>
      </c>
      <c r="C3" s="187">
        <v>1.7600000000000001E-2</v>
      </c>
      <c r="D3" s="187">
        <v>1.4999999999999999E-2</v>
      </c>
    </row>
    <row r="4" spans="2:4">
      <c r="B4" s="187">
        <v>1.9099999999999999E-2</v>
      </c>
      <c r="C4" s="187">
        <v>1.72E-2</v>
      </c>
      <c r="D4" s="187">
        <v>1.2500000000000001E-2</v>
      </c>
    </row>
    <row r="5" spans="2:4">
      <c r="B5" s="187">
        <v>1.9E-2</v>
      </c>
      <c r="C5" s="187">
        <v>1.7299999999999999E-2</v>
      </c>
      <c r="D5" s="187">
        <v>1.2500000000000001E-2</v>
      </c>
    </row>
    <row r="6" spans="2:4">
      <c r="B6" s="187">
        <v>1.89E-2</v>
      </c>
      <c r="C6" s="187">
        <v>1.7100000000000001E-2</v>
      </c>
      <c r="D6" s="187">
        <v>1.2E-2</v>
      </c>
    </row>
  </sheetData>
  <pageMargins left="0.7" right="0.7" top="0.75" bottom="0.75" header="0.3" footer="0.3"/>
  <pageSetup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Dashboard</vt:lpstr>
      <vt:lpstr>Memo</vt:lpstr>
      <vt:lpstr>FMSA</vt:lpstr>
      <vt:lpstr>NPV</vt:lpstr>
      <vt:lpstr>IRR</vt:lpstr>
      <vt:lpstr>Net income </vt:lpstr>
      <vt:lpstr>Revenue Growth % </vt:lpstr>
      <vt:lpstr>COGS % Revenue</vt:lpstr>
      <vt:lpstr>R&amp;D % Revenue </vt:lpstr>
      <vt:lpstr>FMSA!Company_Name</vt:lpstr>
      <vt:lpstr>FMSA!Days_In_Year</vt:lpstr>
      <vt:lpstr>FMSA!Debt_Amount</vt:lpstr>
      <vt:lpstr>FMSA!Debt_Date</vt:lpstr>
      <vt:lpstr>FMSA!Enterprise_Value</vt:lpstr>
      <vt:lpstr>FMSA!Equity_Value</vt:lpstr>
      <vt:lpstr>FMSA!Hist_Year</vt:lpstr>
      <vt:lpstr>Dashboard!Print_Area</vt:lpstr>
      <vt:lpstr>FMSA!Share_Price</vt:lpstr>
      <vt:lpstr>FMSA!Tax_Rate</vt:lpstr>
      <vt:lpstr>FMSA!Units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Nugent</dc:creator>
  <cp:keywords/>
  <dc:description/>
  <cp:lastModifiedBy>Nick Chai</cp:lastModifiedBy>
  <cp:revision/>
  <dcterms:created xsi:type="dcterms:W3CDTF">2019-10-12T15:38:14Z</dcterms:created>
  <dcterms:modified xsi:type="dcterms:W3CDTF">2022-09-15T06:13:46Z</dcterms:modified>
  <cp:category/>
  <cp:contentStatus/>
</cp:coreProperties>
</file>