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1914744f1eeb92/Documents/Subscription Project/"/>
    </mc:Choice>
  </mc:AlternateContent>
  <xr:revisionPtr revIDLastSave="0" documentId="8_{28B06355-824C-49E6-8E72-44F160956898}" xr6:coauthVersionLast="47" xr6:coauthVersionMax="47" xr10:uidLastSave="{00000000-0000-0000-0000-000000000000}"/>
  <bookViews>
    <workbookView xWindow="11424" yWindow="0" windowWidth="11712" windowHeight="12336" firstSheet="2" activeTab="3" xr2:uid="{00000000-000D-0000-FFFF-FFFF00000000}"/>
  </bookViews>
  <sheets>
    <sheet name="KPI_History" sheetId="1" r:id="rId1"/>
    <sheet name="Assumptions" sheetId="2" r:id="rId2"/>
    <sheet name="Forecast" sheetId="3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/>
  <c r="I6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3" i="3"/>
  <c r="A2" i="3"/>
  <c r="D2" i="2" a="1"/>
  <c r="D2" i="2" s="1"/>
  <c r="C2" i="2" a="1"/>
  <c r="C2" i="2" s="1"/>
  <c r="B2" i="2" a="1"/>
  <c r="B2" i="2" s="1"/>
  <c r="I4" i="3" l="1"/>
  <c r="J11" i="3" s="1"/>
  <c r="I3" i="3"/>
  <c r="B2" i="3" s="1"/>
  <c r="I5" i="3"/>
  <c r="D10" i="3" s="1"/>
  <c r="C2" i="3" l="1"/>
  <c r="D7" i="3"/>
  <c r="D3" i="3"/>
  <c r="D15" i="3"/>
  <c r="D4" i="3"/>
  <c r="D16" i="3"/>
  <c r="D5" i="3"/>
  <c r="D8" i="3"/>
  <c r="D14" i="3"/>
  <c r="D2" i="3"/>
  <c r="D11" i="3"/>
  <c r="D9" i="3"/>
  <c r="D6" i="3"/>
  <c r="D12" i="3"/>
  <c r="D13" i="3"/>
  <c r="E2" i="3" l="1"/>
  <c r="B3" i="3" s="1"/>
  <c r="C3" i="3" s="1"/>
  <c r="E3" i="3" s="1"/>
  <c r="F2" i="3" l="1"/>
  <c r="B4" i="3"/>
  <c r="C4" i="3" s="1"/>
  <c r="E4" i="3" s="1"/>
  <c r="F3" i="3"/>
  <c r="B5" i="3" l="1"/>
  <c r="F4" i="3"/>
  <c r="C5" i="3" l="1"/>
  <c r="E5" i="3" s="1"/>
  <c r="B6" i="3" l="1"/>
  <c r="C6" i="3" s="1"/>
  <c r="E6" i="3" s="1"/>
  <c r="F5" i="3"/>
  <c r="B7" i="3" l="1"/>
  <c r="C7" i="3" s="1"/>
  <c r="E7" i="3" s="1"/>
  <c r="F6" i="3"/>
  <c r="B8" i="3" l="1"/>
  <c r="C8" i="3" s="1"/>
  <c r="E8" i="3" s="1"/>
  <c r="F7" i="3"/>
  <c r="B9" i="3" l="1"/>
  <c r="C9" i="3" s="1"/>
  <c r="E9" i="3" s="1"/>
  <c r="F8" i="3"/>
  <c r="B10" i="3" l="1"/>
  <c r="F9" i="3"/>
  <c r="C10" i="3" l="1"/>
  <c r="E10" i="3" s="1"/>
  <c r="B11" i="3" l="1"/>
  <c r="C11" i="3" s="1"/>
  <c r="E11" i="3" s="1"/>
  <c r="F10" i="3"/>
  <c r="B12" i="3" l="1"/>
  <c r="F11" i="3"/>
  <c r="C12" i="3" l="1"/>
  <c r="E12" i="3" s="1"/>
  <c r="B13" i="3" l="1"/>
  <c r="F12" i="3"/>
  <c r="C13" i="3" l="1"/>
  <c r="E13" i="3" s="1"/>
  <c r="B14" i="3" l="1"/>
  <c r="F13" i="3"/>
  <c r="C14" i="3" l="1"/>
  <c r="E14" i="3" s="1"/>
  <c r="B15" i="3" l="1"/>
  <c r="C15" i="3" s="1"/>
  <c r="E15" i="3" s="1"/>
  <c r="F14" i="3"/>
  <c r="B16" i="3" l="1"/>
  <c r="C16" i="3" s="1"/>
  <c r="E16" i="3" s="1"/>
  <c r="G9" i="4" s="1" a="1"/>
  <c r="G9" i="4" s="1"/>
  <c r="J9" i="4" s="1"/>
  <c r="F15" i="3"/>
  <c r="F16" i="3" l="1"/>
  <c r="J10" i="3"/>
  <c r="J9" i="3"/>
  <c r="J8" i="3" l="1"/>
  <c r="C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<sst xmlns="http://schemas.openxmlformats.org/spreadsheetml/2006/main" count="39" uniqueCount="34">
  <si>
    <t>month</t>
  </si>
  <si>
    <t>active_users</t>
  </si>
  <si>
    <t>total_revenue</t>
  </si>
  <si>
    <t>Parameter</t>
  </si>
  <si>
    <t>Base</t>
  </si>
  <si>
    <t>Best Case</t>
  </si>
  <si>
    <t>Worst Case</t>
  </si>
  <si>
    <t>Notes</t>
  </si>
  <si>
    <t>Initial MAU</t>
  </si>
  <si>
    <t>Monthly Churn Rate</t>
  </si>
  <si>
    <t>Monthly New Users</t>
  </si>
  <si>
    <t>ARPU (monthly)</t>
  </si>
  <si>
    <t>Forecast Months</t>
  </si>
  <si>
    <t>Horizon</t>
  </si>
  <si>
    <t>From historical average revenue</t>
  </si>
  <si>
    <t>Flat Assumption</t>
  </si>
  <si>
    <t>Based on past 12-month average</t>
  </si>
  <si>
    <t>Last row from KPI_History</t>
  </si>
  <si>
    <t>Month</t>
  </si>
  <si>
    <t>MAU_Start</t>
  </si>
  <si>
    <t>Churned Users</t>
  </si>
  <si>
    <t>New Users</t>
  </si>
  <si>
    <t>MAU_End</t>
  </si>
  <si>
    <t>Revenue</t>
  </si>
  <si>
    <t>Scenario:</t>
  </si>
  <si>
    <t>Worst</t>
  </si>
  <si>
    <t>Churn Rate</t>
  </si>
  <si>
    <t>ARPU</t>
  </si>
  <si>
    <t>Total Revenue (period)</t>
  </si>
  <si>
    <t>Ending MAU</t>
  </si>
  <si>
    <t>Net MAU Change</t>
  </si>
  <si>
    <t>Avg Churn (modeled):</t>
  </si>
  <si>
    <t>User &amp; Revenue Forecast Dashboard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</si>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</sst>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7" formatCode="&quot;$&quot;#,##0.00_);\(&quot;$&quot;#,##0.00\)"/>
    <numFmt numFmtId="164" formatCode="yyyy\-mm\-dd\ hh:mm:ss"/>
    <numFmt numFmtId="167" formatCode="0.0%"/>
    <numFmt numFmtId="168" formatCode="0.0"/>
    <numFmt numFmtId="170" formatCode="&quot;$&quot;#,##0.0_);\(&quot;$&quot;#,##0.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14" fontId="0" fillId="0" borderId="1" xfId="0" applyNumberFormat="1" applyBorder="1"/>
    <xf numFmtId="168" fontId="0" fillId="0" borderId="1" xfId="0" applyNumberFormat="1" applyBorder="1"/>
    <xf numFmtId="7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1" fontId="0" fillId="0" borderId="1" xfId="0" applyNumberFormat="1" applyBorder="1"/>
    <xf numFmtId="170" fontId="0" fillId="0" borderId="1" xfId="0" applyNumberFormat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5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8CC"/>
        </patternFill>
      </fill>
    </dxf>
    <dxf>
      <fill>
        <patternFill>
          <bgColor rgb="FFE2F0D9"/>
        </patternFill>
      </fill>
    </dxf>
    <dxf>
      <fill>
        <patternFill>
          <bgColor rgb="FFF4B08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8F8F8"/>
      <color rgb="FFF4B084"/>
      <color rgb="FFF8CBAD"/>
      <color rgb="FFE2F0D9"/>
      <color rgb="FFFFF8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Active Users (MAU)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Forecast!$E$1</c:f>
              <c:strCache>
                <c:ptCount val="1"/>
                <c:pt idx="0">
                  <c:v>MAU_End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Forecast!$A$2:$A$16</c:f>
              <c:numCache>
                <c:formatCode>m/d/yyyy</c:formatCode>
                <c:ptCount val="15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</c:numCache>
            </c:numRef>
          </c:cat>
          <c:val>
            <c:numRef>
              <c:f>Forecast!$E$2:$E$16</c:f>
              <c:numCache>
                <c:formatCode>0</c:formatCode>
                <c:ptCount val="15"/>
                <c:pt idx="0">
                  <c:v>1001.3199999999999</c:v>
                </c:pt>
                <c:pt idx="1">
                  <c:v>1121.2143999999998</c:v>
                </c:pt>
                <c:pt idx="2">
                  <c:v>1231.5172479999999</c:v>
                </c:pt>
                <c:pt idx="3">
                  <c:v>1332.9958681599999</c:v>
                </c:pt>
                <c:pt idx="4">
                  <c:v>1426.3561987071998</c:v>
                </c:pt>
                <c:pt idx="5">
                  <c:v>1512.2477028106239</c:v>
                </c:pt>
                <c:pt idx="6">
                  <c:v>1591.267886585774</c:v>
                </c:pt>
                <c:pt idx="7">
                  <c:v>1663.9664556589121</c:v>
                </c:pt>
                <c:pt idx="8">
                  <c:v>1730.8491392061992</c:v>
                </c:pt>
                <c:pt idx="9">
                  <c:v>1792.3812080697032</c:v>
                </c:pt>
                <c:pt idx="10">
                  <c:v>1848.9907114241269</c:v>
                </c:pt>
                <c:pt idx="11">
                  <c:v>1901.0714545101966</c:v>
                </c:pt>
                <c:pt idx="12">
                  <c:v>1948.9857381493809</c:v>
                </c:pt>
                <c:pt idx="13">
                  <c:v>1993.0668790974305</c:v>
                </c:pt>
                <c:pt idx="14">
                  <c:v>2033.6215287696361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9-44CF-8972-5E7D735B8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52687"/>
        <c:axId val="1076736367"/>
      </c:lineChart>
      <c:dateAx>
        <c:axId val="107675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6367"/>
        <c:crosses val="autoZero"/>
        <c:auto val="1"/>
        <c:lblOffset val="100"/>
        <c:baseTimeUnit val="months"/>
      </c:dateAx>
      <c:valAx>
        <c:axId val="1076736367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Active Users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Revenue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Forecast!$F$1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Forecast!$A$2:$A$16</c:f>
              <c:numCache>
                <c:formatCode>m/d/yyyy</c:formatCode>
                <c:ptCount val="15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</c:numCache>
            </c:numRef>
          </c:cat>
          <c:val>
            <c:numRef>
              <c:f>Forecast!$F$2:$F$16</c:f>
              <c:numCache>
                <c:formatCode>"$"#,##0.0_);\("$"#,##0.0\)</c:formatCode>
                <c:ptCount val="15"/>
                <c:pt idx="0">
                  <c:v>24031.68</c:v>
                </c:pt>
                <c:pt idx="1">
                  <c:v>26909.145599999996</c:v>
                </c:pt>
                <c:pt idx="2">
                  <c:v>29556.413951999995</c:v>
                </c:pt>
                <c:pt idx="3">
                  <c:v>31991.900835839995</c:v>
                </c:pt>
                <c:pt idx="4">
                  <c:v>34232.548768972796</c:v>
                </c:pt>
                <c:pt idx="5">
                  <c:v>36293.944867454971</c:v>
                </c:pt>
                <c:pt idx="6">
                  <c:v>38190.429278058575</c:v>
                </c:pt>
                <c:pt idx="7">
                  <c:v>39935.194935813888</c:v>
                </c:pt>
                <c:pt idx="8">
                  <c:v>41540.379340948784</c:v>
                </c:pt>
                <c:pt idx="9">
                  <c:v>43017.148993672876</c:v>
                </c:pt>
                <c:pt idx="10">
                  <c:v>44375.777074179045</c:v>
                </c:pt>
                <c:pt idx="11">
                  <c:v>45625.714908244721</c:v>
                </c:pt>
                <c:pt idx="12">
                  <c:v>46775.657715585141</c:v>
                </c:pt>
                <c:pt idx="13">
                  <c:v>47833.605098338332</c:v>
                </c:pt>
                <c:pt idx="14">
                  <c:v>48806.916690471269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D-48C7-ABAE-BAE66ED16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134735"/>
        <c:axId val="1462135215"/>
      </c:lineChart>
      <c:dateAx>
        <c:axId val="146213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35215"/>
        <c:crosses val="autoZero"/>
        <c:auto val="1"/>
        <c:lblOffset val="100"/>
        <c:baseTimeUnit val="months"/>
      </c:dateAx>
      <c:valAx>
        <c:axId val="1462135215"/>
        <c:scaling>
          <c:orientation val="minMax"/>
          <c:max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_);\(&quot;$&quot;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132229</xdr:colOff>
      <xdr:row>14</xdr:row>
      <xdr:rowOff>95026</xdr:rowOff>
    </xdr:from>
    <xdr:to>
      <xdr:col>6</xdr:col>
      <xdr:colOff>609600</xdr:colOff>
      <xdr:row>26</xdr:row>
      <xdr:rowOff>148366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1F6A7-F5C1-4A09-BD1B-ADBF55D66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89647</xdr:colOff>
      <xdr:row>14</xdr:row>
      <xdr:rowOff>102197</xdr:rowOff>
    </xdr:from>
    <xdr:to>
      <xdr:col>13</xdr:col>
      <xdr:colOff>762000</xdr:colOff>
      <xdr:row>26</xdr:row>
      <xdr:rowOff>143435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6EB6D-D8E1-46AB-90F8-FBC2AFD13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3" sqref="B3"/>
    </sheetView>
  </sheetViews>
  <sheetFormatPr defaultRowHeight="14.4" x14ac:dyDescent="0.3"/>
  <cols>
    <col min="1" max="1" width="18.109375" bestFit="1" customWidth="1"/>
    <col min="2" max="2" width="11.332031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>
        <v>147</v>
      </c>
      <c r="C2">
        <v>3655.7098406314358</v>
      </c>
    </row>
    <row r="3" spans="1:3" x14ac:dyDescent="0.3">
      <c r="A3" s="2">
        <v>44958</v>
      </c>
      <c r="B3">
        <v>262</v>
      </c>
      <c r="C3">
        <v>6512.4744658458912</v>
      </c>
    </row>
    <row r="4" spans="1:3" x14ac:dyDescent="0.3">
      <c r="A4" s="2">
        <v>44986</v>
      </c>
      <c r="B4">
        <v>349</v>
      </c>
      <c r="C4">
        <v>8635.6946634373344</v>
      </c>
    </row>
    <row r="5" spans="1:3" x14ac:dyDescent="0.3">
      <c r="A5" s="2">
        <v>45017</v>
      </c>
      <c r="B5">
        <v>418</v>
      </c>
      <c r="C5">
        <v>10356.855607928919</v>
      </c>
    </row>
    <row r="6" spans="1:3" x14ac:dyDescent="0.3">
      <c r="A6" s="2">
        <v>45047</v>
      </c>
      <c r="B6">
        <v>491</v>
      </c>
      <c r="C6">
        <v>12252.09946261048</v>
      </c>
    </row>
    <row r="7" spans="1:3" x14ac:dyDescent="0.3">
      <c r="A7" s="2">
        <v>45078</v>
      </c>
      <c r="B7">
        <v>515</v>
      </c>
      <c r="C7">
        <v>12875.142327527121</v>
      </c>
    </row>
    <row r="8" spans="1:3" x14ac:dyDescent="0.3">
      <c r="A8" s="2">
        <v>45108</v>
      </c>
      <c r="B8">
        <v>558</v>
      </c>
      <c r="C8">
        <v>13987.70174180582</v>
      </c>
    </row>
    <row r="9" spans="1:3" x14ac:dyDescent="0.3">
      <c r="A9" s="2">
        <v>45139</v>
      </c>
      <c r="B9">
        <v>581</v>
      </c>
      <c r="C9">
        <v>14435.01026250987</v>
      </c>
    </row>
    <row r="10" spans="1:3" x14ac:dyDescent="0.3">
      <c r="A10" s="2">
        <v>45170</v>
      </c>
      <c r="B10">
        <v>656</v>
      </c>
      <c r="C10">
        <v>16234.95823051498</v>
      </c>
    </row>
    <row r="11" spans="1:3" x14ac:dyDescent="0.3">
      <c r="A11" s="2">
        <v>45200</v>
      </c>
      <c r="B11">
        <v>685</v>
      </c>
      <c r="C11">
        <v>17030.71317628177</v>
      </c>
    </row>
    <row r="12" spans="1:3" x14ac:dyDescent="0.3">
      <c r="A12" s="2">
        <v>45231</v>
      </c>
      <c r="B12">
        <v>702</v>
      </c>
      <c r="C12">
        <v>17391.24641262271</v>
      </c>
    </row>
    <row r="13" spans="1:3" x14ac:dyDescent="0.3">
      <c r="A13" s="2">
        <v>45261</v>
      </c>
      <c r="B13">
        <v>726</v>
      </c>
      <c r="C13">
        <v>17960.033560090978</v>
      </c>
    </row>
    <row r="14" spans="1:3" x14ac:dyDescent="0.3">
      <c r="A14" s="2">
        <v>45292</v>
      </c>
      <c r="B14">
        <v>746</v>
      </c>
      <c r="C14">
        <v>18602.138819356329</v>
      </c>
    </row>
    <row r="15" spans="1:3" x14ac:dyDescent="0.3">
      <c r="A15" s="2">
        <v>45323</v>
      </c>
      <c r="B15">
        <v>742</v>
      </c>
      <c r="C15">
        <v>18595.426403199239</v>
      </c>
    </row>
    <row r="16" spans="1:3" x14ac:dyDescent="0.3">
      <c r="A16" s="2">
        <v>45352</v>
      </c>
      <c r="B16">
        <v>757</v>
      </c>
      <c r="C16">
        <v>18988.415052919088</v>
      </c>
    </row>
    <row r="17" spans="1:3" x14ac:dyDescent="0.3">
      <c r="A17" s="2">
        <v>45383</v>
      </c>
      <c r="B17">
        <v>746</v>
      </c>
      <c r="C17">
        <v>18837.739118520229</v>
      </c>
    </row>
    <row r="18" spans="1:3" x14ac:dyDescent="0.3">
      <c r="A18" s="2">
        <v>45413</v>
      </c>
      <c r="B18">
        <v>777</v>
      </c>
      <c r="C18">
        <v>19500.720520519419</v>
      </c>
    </row>
    <row r="19" spans="1:3" x14ac:dyDescent="0.3">
      <c r="A19" s="2">
        <v>45444</v>
      </c>
      <c r="B19">
        <v>779</v>
      </c>
      <c r="C19">
        <v>19487.210220522451</v>
      </c>
    </row>
    <row r="20" spans="1:3" x14ac:dyDescent="0.3">
      <c r="A20" s="2">
        <v>45474</v>
      </c>
      <c r="B20">
        <v>793</v>
      </c>
      <c r="C20">
        <v>19973.18380975234</v>
      </c>
    </row>
    <row r="21" spans="1:3" x14ac:dyDescent="0.3">
      <c r="A21" s="2">
        <v>45505</v>
      </c>
      <c r="B21">
        <v>833</v>
      </c>
      <c r="C21">
        <v>20872.078491546639</v>
      </c>
    </row>
    <row r="22" spans="1:3" x14ac:dyDescent="0.3">
      <c r="A22" s="2">
        <v>45536</v>
      </c>
      <c r="B22">
        <v>857</v>
      </c>
      <c r="C22">
        <v>21502.770304837752</v>
      </c>
    </row>
    <row r="23" spans="1:3" x14ac:dyDescent="0.3">
      <c r="A23" s="2">
        <v>45566</v>
      </c>
      <c r="B23">
        <v>862</v>
      </c>
      <c r="C23">
        <v>21479.213735540779</v>
      </c>
    </row>
    <row r="24" spans="1:3" x14ac:dyDescent="0.3">
      <c r="A24" s="2">
        <v>45597</v>
      </c>
      <c r="B24">
        <v>853</v>
      </c>
      <c r="C24">
        <v>21309.791730674071</v>
      </c>
    </row>
    <row r="25" spans="1:3" x14ac:dyDescent="0.3">
      <c r="A25" s="2">
        <v>45627</v>
      </c>
      <c r="B25">
        <v>871</v>
      </c>
      <c r="C25">
        <v>21627.501424414611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BD2D-B9F2-452C-BEC8-584041FE6925}">
  <dimension ref="A1:E6"/>
  <sheetViews>
    <sheetView workbookViewId="0">
      <selection activeCell="F10" sqref="F10"/>
    </sheetView>
  </sheetViews>
  <sheetFormatPr defaultRowHeight="14.4" x14ac:dyDescent="0.3"/>
  <cols>
    <col min="1" max="1" width="17.44140625" bestFit="1" customWidth="1"/>
    <col min="2" max="2" width="9.88671875" bestFit="1" customWidth="1"/>
    <col min="4" max="4" width="10.33203125" bestFit="1" customWidth="1"/>
    <col min="5" max="5" width="28.109375" bestFit="1" customWidth="1"/>
  </cols>
  <sheetData>
    <row r="1" spans="1: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4" t="s">
        <v>8</v>
      </c>
      <c r="B2" s="4" cm="1">
        <f t="array" ref="B2">LOOKUP(2,1/(KPI_History!A:A&lt;&gt;""),KPI_History!B:B)</f>
        <v>871</v>
      </c>
      <c r="C2" s="4" cm="1">
        <f t="array" ref="C2">LOOKUP(2,1/(KPI_History!A:A&lt;&gt;""),KPI_History!B:B)</f>
        <v>871</v>
      </c>
      <c r="D2" s="4" cm="1">
        <f t="array" ref="D2">LOOKUP(2,1/(KPI_History!A:A&lt;&gt;""),KPI_History!B:B)</f>
        <v>871</v>
      </c>
      <c r="E2" s="4" t="s">
        <v>17</v>
      </c>
    </row>
    <row r="3" spans="1:5" x14ac:dyDescent="0.3">
      <c r="A3" s="4" t="s">
        <v>9</v>
      </c>
      <c r="B3" s="5">
        <v>0.05</v>
      </c>
      <c r="C3" s="5">
        <v>0.03</v>
      </c>
      <c r="D3" s="5">
        <v>0.08</v>
      </c>
      <c r="E3" s="4" t="s">
        <v>16</v>
      </c>
    </row>
    <row r="4" spans="1:5" x14ac:dyDescent="0.3">
      <c r="A4" s="4" t="s">
        <v>10</v>
      </c>
      <c r="B4" s="4">
        <v>400</v>
      </c>
      <c r="C4" s="4">
        <v>600</v>
      </c>
      <c r="D4" s="4">
        <v>200</v>
      </c>
      <c r="E4" s="4" t="s">
        <v>15</v>
      </c>
    </row>
    <row r="5" spans="1:5" x14ac:dyDescent="0.3">
      <c r="A5" s="4" t="s">
        <v>11</v>
      </c>
      <c r="B5" s="6">
        <v>26.5</v>
      </c>
      <c r="C5" s="6">
        <v>28</v>
      </c>
      <c r="D5" s="6">
        <v>24</v>
      </c>
      <c r="E5" s="4" t="s">
        <v>14</v>
      </c>
    </row>
    <row r="6" spans="1:5" x14ac:dyDescent="0.3">
      <c r="A6" s="4" t="s">
        <v>12</v>
      </c>
      <c r="B6" s="4">
        <v>15</v>
      </c>
      <c r="C6" s="4">
        <v>15</v>
      </c>
      <c r="D6" s="4">
        <v>15</v>
      </c>
      <c r="E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413B-E632-4452-8E19-6399F199C639}">
  <dimension ref="A1:J16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0" bestFit="1" customWidth="1"/>
    <col min="3" max="3" width="13.33203125" bestFit="1" customWidth="1"/>
    <col min="4" max="4" width="9.77734375" bestFit="1" customWidth="1"/>
    <col min="5" max="5" width="9.44140625" customWidth="1"/>
    <col min="6" max="6" width="11.6640625" customWidth="1"/>
    <col min="7" max="7" width="7.77734375" customWidth="1"/>
    <col min="8" max="8" width="10.33203125" customWidth="1"/>
    <col min="9" max="9" width="10.44140625" customWidth="1"/>
    <col min="10" max="10" width="13.109375" bestFit="1" customWidth="1"/>
  </cols>
  <sheetData>
    <row r="1" spans="1:10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H1" s="12" t="s">
        <v>24</v>
      </c>
      <c r="I1" s="13" t="str">
        <f>Dashboard!L5</f>
        <v>Worst</v>
      </c>
    </row>
    <row r="2" spans="1:10" x14ac:dyDescent="0.3">
      <c r="A2" s="7">
        <f>DATE(2025, 1, 1)</f>
        <v>45658</v>
      </c>
      <c r="B2" s="16">
        <f>$I$3</f>
        <v>871</v>
      </c>
      <c r="C2" s="16">
        <f>B2*$I$4</f>
        <v>69.680000000000007</v>
      </c>
      <c r="D2" s="16">
        <f>$I$5</f>
        <v>200</v>
      </c>
      <c r="E2" s="16">
        <f>B2-C2+D2</f>
        <v>1001.3199999999999</v>
      </c>
      <c r="F2" s="17">
        <f>E2*$I$6</f>
        <v>24031.68</v>
      </c>
      <c r="H2" s="14"/>
      <c r="I2" s="15"/>
    </row>
    <row r="3" spans="1:10" x14ac:dyDescent="0.3">
      <c r="A3" s="7">
        <f xml:space="preserve"> EDATE(A2, 1)</f>
        <v>45689</v>
      </c>
      <c r="B3" s="16">
        <f>E2</f>
        <v>1001.3199999999999</v>
      </c>
      <c r="C3" s="16">
        <f t="shared" ref="C3:C16" si="0">B3*$I$4</f>
        <v>80.105599999999995</v>
      </c>
      <c r="D3" s="16">
        <f t="shared" ref="D3:D16" si="1">$I$5</f>
        <v>200</v>
      </c>
      <c r="E3" s="16">
        <f t="shared" ref="E3:E16" si="2">B3-C3+D3</f>
        <v>1121.2143999999998</v>
      </c>
      <c r="F3" s="17">
        <f t="shared" ref="F3:F16" si="3">E3*$I$6</f>
        <v>26909.145599999996</v>
      </c>
      <c r="H3" s="4" t="s">
        <v>8</v>
      </c>
      <c r="I3" s="4">
        <f>IF(I1 = "Base", Assumptions!B2, IF(I1 = "Best", Assumptions!C2, Assumptions!D2))</f>
        <v>871</v>
      </c>
    </row>
    <row r="4" spans="1:10" x14ac:dyDescent="0.3">
      <c r="A4" s="7">
        <f t="shared" ref="A4:A16" si="4" xml:space="preserve"> EDATE(A3, 1)</f>
        <v>45717</v>
      </c>
      <c r="B4" s="16">
        <f t="shared" ref="B4:B16" si="5">E3</f>
        <v>1121.2143999999998</v>
      </c>
      <c r="C4" s="16">
        <f t="shared" si="0"/>
        <v>89.697151999999988</v>
      </c>
      <c r="D4" s="16">
        <f t="shared" si="1"/>
        <v>200</v>
      </c>
      <c r="E4" s="16">
        <f t="shared" si="2"/>
        <v>1231.5172479999999</v>
      </c>
      <c r="F4" s="17">
        <f t="shared" si="3"/>
        <v>29556.413951999995</v>
      </c>
      <c r="H4" s="4" t="s">
        <v>26</v>
      </c>
      <c r="I4" s="10">
        <f>IF(I1 = "Base", Assumptions!B3, IF(I1 = "Best", Assumptions!C3, Assumptions!D3))</f>
        <v>0.08</v>
      </c>
    </row>
    <row r="5" spans="1:10" x14ac:dyDescent="0.3">
      <c r="A5" s="7">
        <f t="shared" si="4"/>
        <v>45748</v>
      </c>
      <c r="B5" s="16">
        <f t="shared" si="5"/>
        <v>1231.5172479999999</v>
      </c>
      <c r="C5" s="16">
        <f t="shared" si="0"/>
        <v>98.521379839999994</v>
      </c>
      <c r="D5" s="16">
        <f t="shared" si="1"/>
        <v>200</v>
      </c>
      <c r="E5" s="16">
        <f t="shared" si="2"/>
        <v>1332.9958681599999</v>
      </c>
      <c r="F5" s="17">
        <f t="shared" si="3"/>
        <v>31991.900835839995</v>
      </c>
      <c r="H5" s="4" t="s">
        <v>21</v>
      </c>
      <c r="I5" s="4">
        <f>IF(I1 = "Base", Assumptions!B4, IF(I1 = "Best", Assumptions!C4, Assumptions!D4))</f>
        <v>200</v>
      </c>
    </row>
    <row r="6" spans="1:10" x14ac:dyDescent="0.3">
      <c r="A6" s="7">
        <f t="shared" si="4"/>
        <v>45778</v>
      </c>
      <c r="B6" s="16">
        <f t="shared" si="5"/>
        <v>1332.9958681599999</v>
      </c>
      <c r="C6" s="16">
        <f t="shared" si="0"/>
        <v>106.63966945279999</v>
      </c>
      <c r="D6" s="16">
        <f t="shared" si="1"/>
        <v>200</v>
      </c>
      <c r="E6" s="16">
        <f t="shared" si="2"/>
        <v>1426.3561987071998</v>
      </c>
      <c r="F6" s="17">
        <f t="shared" si="3"/>
        <v>34232.548768972796</v>
      </c>
      <c r="H6" s="4" t="s">
        <v>27</v>
      </c>
      <c r="I6" s="8">
        <f>IF(I1 = "Base", Assumptions!B5, IF(I1 = "Best", Assumptions!C5, Assumptions!D5))</f>
        <v>24</v>
      </c>
    </row>
    <row r="7" spans="1:10" x14ac:dyDescent="0.3">
      <c r="A7" s="7">
        <f t="shared" si="4"/>
        <v>45809</v>
      </c>
      <c r="B7" s="16">
        <f t="shared" si="5"/>
        <v>1426.3561987071998</v>
      </c>
      <c r="C7" s="16">
        <f t="shared" si="0"/>
        <v>114.10849589657599</v>
      </c>
      <c r="D7" s="16">
        <f t="shared" si="1"/>
        <v>200</v>
      </c>
      <c r="E7" s="16">
        <f t="shared" si="2"/>
        <v>1512.2477028106239</v>
      </c>
      <c r="F7" s="17">
        <f t="shared" si="3"/>
        <v>36293.944867454971</v>
      </c>
    </row>
    <row r="8" spans="1:10" x14ac:dyDescent="0.3">
      <c r="A8" s="7">
        <f t="shared" si="4"/>
        <v>45839</v>
      </c>
      <c r="B8" s="16">
        <f t="shared" si="5"/>
        <v>1512.2477028106239</v>
      </c>
      <c r="C8" s="16">
        <f t="shared" si="0"/>
        <v>120.97981622484991</v>
      </c>
      <c r="D8" s="16">
        <f t="shared" si="1"/>
        <v>200</v>
      </c>
      <c r="E8" s="16">
        <f t="shared" si="2"/>
        <v>1591.267886585774</v>
      </c>
      <c r="F8" s="17">
        <f t="shared" si="3"/>
        <v>38190.429278058575</v>
      </c>
      <c r="H8" s="11" t="s">
        <v>28</v>
      </c>
      <c r="I8" s="11"/>
      <c r="J8" s="9">
        <f>SUM(F2:F16)</f>
        <v>579116.45805958041</v>
      </c>
    </row>
    <row r="9" spans="1:10" x14ac:dyDescent="0.3">
      <c r="A9" s="7">
        <f t="shared" si="4"/>
        <v>45870</v>
      </c>
      <c r="B9" s="16">
        <f t="shared" si="5"/>
        <v>1591.267886585774</v>
      </c>
      <c r="C9" s="16">
        <f t="shared" si="0"/>
        <v>127.30143092686193</v>
      </c>
      <c r="D9" s="16">
        <f t="shared" si="1"/>
        <v>200</v>
      </c>
      <c r="E9" s="16">
        <f t="shared" si="2"/>
        <v>1663.9664556589121</v>
      </c>
      <c r="F9" s="17">
        <f t="shared" si="3"/>
        <v>39935.194935813888</v>
      </c>
      <c r="H9" s="11" t="s">
        <v>29</v>
      </c>
      <c r="I9" s="11"/>
      <c r="J9" s="8">
        <f>E16</f>
        <v>2033.6215287696361</v>
      </c>
    </row>
    <row r="10" spans="1:10" x14ac:dyDescent="0.3">
      <c r="A10" s="7">
        <f t="shared" si="4"/>
        <v>45901</v>
      </c>
      <c r="B10" s="16">
        <f t="shared" si="5"/>
        <v>1663.9664556589121</v>
      </c>
      <c r="C10" s="16">
        <f t="shared" si="0"/>
        <v>133.11731645271297</v>
      </c>
      <c r="D10" s="16">
        <f t="shared" si="1"/>
        <v>200</v>
      </c>
      <c r="E10" s="16">
        <f t="shared" si="2"/>
        <v>1730.8491392061992</v>
      </c>
      <c r="F10" s="17">
        <f t="shared" si="3"/>
        <v>41540.379340948784</v>
      </c>
      <c r="H10" s="11" t="s">
        <v>30</v>
      </c>
      <c r="I10" s="11"/>
      <c r="J10" s="8">
        <f>E16-B2</f>
        <v>1162.6215287696361</v>
      </c>
    </row>
    <row r="11" spans="1:10" x14ac:dyDescent="0.3">
      <c r="A11" s="7">
        <f t="shared" si="4"/>
        <v>45931</v>
      </c>
      <c r="B11" s="16">
        <f t="shared" si="5"/>
        <v>1730.8491392061992</v>
      </c>
      <c r="C11" s="16">
        <f t="shared" si="0"/>
        <v>138.46793113649593</v>
      </c>
      <c r="D11" s="16">
        <f t="shared" si="1"/>
        <v>200</v>
      </c>
      <c r="E11" s="16">
        <f t="shared" si="2"/>
        <v>1792.3812080697032</v>
      </c>
      <c r="F11" s="17">
        <f t="shared" si="3"/>
        <v>43017.148993672876</v>
      </c>
      <c r="H11" s="11" t="s">
        <v>31</v>
      </c>
      <c r="I11" s="11"/>
      <c r="J11" s="10">
        <f>$I$4</f>
        <v>0.08</v>
      </c>
    </row>
    <row r="12" spans="1:10" x14ac:dyDescent="0.3">
      <c r="A12" s="7">
        <f t="shared" si="4"/>
        <v>45962</v>
      </c>
      <c r="B12" s="16">
        <f t="shared" si="5"/>
        <v>1792.3812080697032</v>
      </c>
      <c r="C12" s="16">
        <f t="shared" si="0"/>
        <v>143.39049664557626</v>
      </c>
      <c r="D12" s="16">
        <f t="shared" si="1"/>
        <v>200</v>
      </c>
      <c r="E12" s="16">
        <f t="shared" si="2"/>
        <v>1848.9907114241269</v>
      </c>
      <c r="F12" s="17">
        <f t="shared" si="3"/>
        <v>44375.777074179045</v>
      </c>
    </row>
    <row r="13" spans="1:10" x14ac:dyDescent="0.3">
      <c r="A13" s="7">
        <f t="shared" si="4"/>
        <v>45992</v>
      </c>
      <c r="B13" s="16">
        <f t="shared" si="5"/>
        <v>1848.9907114241269</v>
      </c>
      <c r="C13" s="16">
        <f t="shared" si="0"/>
        <v>147.91925691393016</v>
      </c>
      <c r="D13" s="16">
        <f t="shared" si="1"/>
        <v>200</v>
      </c>
      <c r="E13" s="16">
        <f t="shared" si="2"/>
        <v>1901.0714545101966</v>
      </c>
      <c r="F13" s="17">
        <f t="shared" si="3"/>
        <v>45625.714908244721</v>
      </c>
    </row>
    <row r="14" spans="1:10" x14ac:dyDescent="0.3">
      <c r="A14" s="7">
        <f t="shared" si="4"/>
        <v>46023</v>
      </c>
      <c r="B14" s="16">
        <f t="shared" si="5"/>
        <v>1901.0714545101966</v>
      </c>
      <c r="C14" s="16">
        <f t="shared" si="0"/>
        <v>152.08571636081572</v>
      </c>
      <c r="D14" s="16">
        <f t="shared" si="1"/>
        <v>200</v>
      </c>
      <c r="E14" s="16">
        <f t="shared" si="2"/>
        <v>1948.9857381493809</v>
      </c>
      <c r="F14" s="17">
        <f t="shared" si="3"/>
        <v>46775.657715585141</v>
      </c>
    </row>
    <row r="15" spans="1:10" x14ac:dyDescent="0.3">
      <c r="A15" s="7">
        <f t="shared" si="4"/>
        <v>46054</v>
      </c>
      <c r="B15" s="16">
        <f t="shared" si="5"/>
        <v>1948.9857381493809</v>
      </c>
      <c r="C15" s="16">
        <f t="shared" si="0"/>
        <v>155.91885905195048</v>
      </c>
      <c r="D15" s="16">
        <f t="shared" si="1"/>
        <v>200</v>
      </c>
      <c r="E15" s="16">
        <f t="shared" si="2"/>
        <v>1993.0668790974305</v>
      </c>
      <c r="F15" s="17">
        <f t="shared" si="3"/>
        <v>47833.605098338332</v>
      </c>
    </row>
    <row r="16" spans="1:10" x14ac:dyDescent="0.3">
      <c r="A16" s="7">
        <f t="shared" si="4"/>
        <v>46082</v>
      </c>
      <c r="B16" s="16">
        <f t="shared" si="5"/>
        <v>1993.0668790974305</v>
      </c>
      <c r="C16" s="16">
        <f t="shared" si="0"/>
        <v>159.44535032779444</v>
      </c>
      <c r="D16" s="16">
        <f t="shared" si="1"/>
        <v>200</v>
      </c>
      <c r="E16" s="16">
        <f t="shared" si="2"/>
        <v>2033.6215287696361</v>
      </c>
      <c r="F16" s="17">
        <f t="shared" si="3"/>
        <v>48806.916690471269</v>
      </c>
    </row>
  </sheetData>
  <mergeCells count="4">
    <mergeCell ref="H8:I8"/>
    <mergeCell ref="H9:I9"/>
    <mergeCell ref="H10:I10"/>
    <mergeCell ref="H11:I11"/>
  </mergeCells>
  <conditionalFormatting sqref="I1">
    <cfRule type="expression" dxfId="8" priority="4">
      <formula>$I$1="Best"</formula>
    </cfRule>
    <cfRule type="expression" dxfId="7" priority="5">
      <formula>$I$1="Worst"</formula>
    </cfRule>
    <cfRule type="expression" dxfId="6" priority="6">
      <formula>$I$1="Base"</formula>
    </cfRule>
  </conditionalFormatting>
  <conditionalFormatting sqref="A1:F1">
    <cfRule type="expression" dxfId="5" priority="1">
      <formula xml:space="preserve"> $I$1 = "Worst"</formula>
    </cfRule>
    <cfRule type="expression" dxfId="4" priority="2">
      <formula>$I$1 = "Best"</formula>
    </cfRule>
    <cfRule type="expression" dxfId="3" priority="3">
      <formula>$I$1 = "Base"</formula>
    </cfRule>
  </conditionalFormatting>
  <dataValidations count="1">
    <dataValidation type="list" allowBlank="1" showInputMessage="1" showErrorMessage="1" sqref="I1" xr:uid="{2832E285-6FB5-42D1-9082-59E88E001CE8}">
      <formula1>"Base, Best, Worst"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F415-BA1E-4F69-B778-80A47FFB4F24}">
  <dimension ref="A1:N10"/>
  <sheetViews>
    <sheetView showGridLines="0" tabSelected="1" zoomScaleNormal="100" workbookViewId="0">
      <selection activeCell="L5" sqref="L5"/>
    </sheetView>
  </sheetViews>
  <sheetFormatPr defaultColWidth="9.21875" defaultRowHeight="15" customHeight="1" x14ac:dyDescent="0.3"/>
  <cols>
    <col min="1" max="1" width="11.44140625" style="18" customWidth="1"/>
    <col min="2" max="3" width="5.33203125" style="18" customWidth="1"/>
    <col min="4" max="4" width="5.5546875" style="18" customWidth="1"/>
    <col min="5" max="5" width="4.5546875" style="18" customWidth="1"/>
    <col min="6" max="9" width="9.21875" style="18"/>
    <col min="10" max="10" width="2.109375" style="18" customWidth="1"/>
    <col min="11" max="11" width="10" style="18" customWidth="1"/>
    <col min="12" max="12" width="7" style="18" customWidth="1"/>
    <col min="13" max="13" width="4.21875" style="18" customWidth="1"/>
    <col min="14" max="14" width="12.6640625" style="18" customWidth="1"/>
    <col min="15" max="16384" width="9.21875" style="18"/>
  </cols>
  <sheetData>
    <row r="1" spans="1:14" ht="15" customHeight="1" x14ac:dyDescent="0.3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5" customHeight="1" x14ac:dyDescent="0.3">
      <c r="K5" s="28" t="s">
        <v>24</v>
      </c>
      <c r="L5" s="19" t="s">
        <v>25</v>
      </c>
    </row>
    <row r="7" spans="1:14" ht="15" customHeight="1" x14ac:dyDescent="0.3">
      <c r="B7" s="22"/>
      <c r="C7" s="22"/>
      <c r="D7" s="22"/>
      <c r="E7" s="22"/>
      <c r="G7" s="22"/>
      <c r="H7" s="22"/>
      <c r="J7" s="22"/>
      <c r="K7" s="22"/>
      <c r="L7" s="22"/>
      <c r="M7" s="22"/>
    </row>
    <row r="8" spans="1:14" ht="15" customHeight="1" x14ac:dyDescent="0.3">
      <c r="B8" s="23" t="s">
        <v>33</v>
      </c>
      <c r="C8" s="23"/>
      <c r="D8" s="23"/>
      <c r="E8" s="23"/>
      <c r="F8" s="21"/>
      <c r="G8" s="23" t="s">
        <v>29</v>
      </c>
      <c r="H8" s="23"/>
      <c r="I8" s="21"/>
      <c r="J8" s="23" t="s">
        <v>30</v>
      </c>
      <c r="K8" s="23"/>
      <c r="L8" s="23"/>
      <c r="M8" s="23"/>
    </row>
    <row r="9" spans="1:14" ht="15" customHeight="1" x14ac:dyDescent="0.3">
      <c r="B9" s="22"/>
      <c r="C9" s="24">
        <f>SUM(Forecast!F2:F16)</f>
        <v>579116.45805958041</v>
      </c>
      <c r="D9" s="24"/>
      <c r="E9" s="25"/>
      <c r="F9" s="21"/>
      <c r="G9" s="26" cm="1">
        <f t="array" ref="G9">LOOKUP(2,1/(Forecast!A:A&lt;&gt;""), Forecast!E:E)</f>
        <v>2033.6215287696361</v>
      </c>
      <c r="H9" s="26"/>
      <c r="I9" s="21"/>
      <c r="J9" s="27">
        <f>G9-Forecast!B2</f>
        <v>1162.6215287696361</v>
      </c>
      <c r="K9" s="27"/>
      <c r="L9" s="27"/>
      <c r="M9" s="27"/>
    </row>
    <row r="10" spans="1:14" ht="15" customHeight="1" x14ac:dyDescent="0.3">
      <c r="B10" s="22"/>
      <c r="C10" s="22"/>
      <c r="D10" s="22"/>
      <c r="E10" s="22"/>
      <c r="G10" s="22"/>
      <c r="H10" s="22"/>
      <c r="J10" s="22"/>
      <c r="K10" s="22"/>
      <c r="L10" s="22"/>
      <c r="M10" s="22"/>
    </row>
  </sheetData>
  <mergeCells count="7">
    <mergeCell ref="A1:N4"/>
    <mergeCell ref="G9:H9"/>
    <mergeCell ref="G8:H8"/>
    <mergeCell ref="C9:D9"/>
    <mergeCell ref="B8:E8"/>
    <mergeCell ref="J8:M8"/>
    <mergeCell ref="J9:M9"/>
  </mergeCells>
  <conditionalFormatting sqref="L5">
    <cfRule type="expression" dxfId="2" priority="1">
      <formula xml:space="preserve"> $L$5 = "Worst"</formula>
    </cfRule>
    <cfRule type="expression" dxfId="1" priority="3">
      <formula xml:space="preserve"> $L$5 = "Best"</formula>
    </cfRule>
    <cfRule type="expression" dxfId="0" priority="4">
      <formula>$L$5 = "Base"</formula>
    </cfRule>
  </conditionalFormatting>
  <dataValidations count="1">
    <dataValidation type="list" allowBlank="1" showInputMessage="1" showErrorMessage="1" sqref="L5" xr:uid="{A0C38D7F-D09A-4AF0-A416-A418483C2C85}">
      <formula1>"Base, Best, Worst"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KPI_History</vt:lpstr>
      <vt:lpstr>Assumptions</vt:lpstr>
      <vt:lpstr>Forecast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Gabrillo</dc:creator>
  <cp:lastModifiedBy>Nicholas</cp:lastModifiedBy>
  <dcterms:created xsi:type="dcterms:W3CDTF">2025-08-07T02:26:06Z</dcterms:created>
  <dcterms:modified xsi:type="dcterms:W3CDTF">2025-08-10T23:45:19Z</dcterms:modified>
</cp:coreProperties>
</file>