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2\"/>
    </mc:Choice>
  </mc:AlternateContent>
  <xr:revisionPtr revIDLastSave="0" documentId="8_{068E6AB9-7E35-46A6-927B-384C5A979A79}" xr6:coauthVersionLast="45" xr6:coauthVersionMax="45" xr10:uidLastSave="{00000000-0000-0000-0000-000000000000}"/>
  <bookViews>
    <workbookView xWindow="390" yWindow="390" windowWidth="15375" windowHeight="7875" tabRatio="901" activeTab="3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Sector_Fuels" sheetId="140" r:id="rId6"/>
    <sheet name="DemTechs_TPS" sheetId="142" r:id="rId7"/>
    <sheet name="DemTechs_RSD" sheetId="138" r:id="rId8"/>
    <sheet name="DemTechs_TRA" sheetId="141" r:id="rId9"/>
    <sheet name="Demands" sheetId="134" r:id="rId10"/>
  </sheets>
  <externalReferences>
    <externalReference r:id="rId11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40" l="1"/>
  <c r="L13" i="140"/>
  <c r="L15" i="141"/>
  <c r="L13" i="141"/>
  <c r="L15" i="138"/>
  <c r="L13" i="138"/>
  <c r="I14" i="136"/>
  <c r="F2" i="142"/>
  <c r="E2" i="142"/>
  <c r="H11" i="142" s="1"/>
  <c r="C2" i="142"/>
  <c r="B2" i="142"/>
  <c r="I12" i="142"/>
  <c r="D2" i="142"/>
  <c r="O12" i="142" s="1"/>
  <c r="N12" i="142" s="1"/>
  <c r="B12" i="142" s="1"/>
  <c r="C12" i="142" s="1"/>
  <c r="K24" i="133"/>
  <c r="E11" i="134"/>
  <c r="E10" i="134"/>
  <c r="E12" i="141"/>
  <c r="E12" i="138"/>
  <c r="I17" i="137"/>
  <c r="I18" i="137"/>
  <c r="I13" i="137"/>
  <c r="I14" i="137"/>
  <c r="I11" i="137"/>
  <c r="I12" i="137"/>
  <c r="I13" i="136"/>
  <c r="I11" i="136"/>
  <c r="I12" i="136" s="1"/>
  <c r="I13" i="132"/>
  <c r="I14" i="132" s="1"/>
  <c r="I11" i="132"/>
  <c r="I12" i="132" s="1"/>
  <c r="I14" i="141"/>
  <c r="I14" i="138"/>
  <c r="P13" i="138"/>
  <c r="B14" i="138" s="1"/>
  <c r="I17" i="136"/>
  <c r="I18" i="136"/>
  <c r="I17" i="132"/>
  <c r="I18" i="132"/>
  <c r="L11" i="133"/>
  <c r="K6" i="140"/>
  <c r="D14" i="140" s="1"/>
  <c r="C14" i="140" s="1"/>
  <c r="K5" i="140"/>
  <c r="D13" i="140" s="1"/>
  <c r="C13" i="140" s="1"/>
  <c r="K13" i="140"/>
  <c r="B13" i="140" s="1"/>
  <c r="L6" i="140"/>
  <c r="F24" i="133"/>
  <c r="E2" i="141"/>
  <c r="L11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8" i="133" s="1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/>
  <c r="E24" i="133" s="1"/>
  <c r="D8" i="133"/>
  <c r="D21" i="133"/>
  <c r="P12" i="138"/>
  <c r="B12" i="138" s="1"/>
  <c r="D2" i="138"/>
  <c r="Q12" i="138" s="1"/>
  <c r="Q5" i="138"/>
  <c r="C2" i="138"/>
  <c r="Q6" i="138" s="1"/>
  <c r="B2" i="141"/>
  <c r="P5" i="141"/>
  <c r="D14" i="141" s="1"/>
  <c r="B2" i="138"/>
  <c r="C14" i="138" s="1"/>
  <c r="R6" i="141"/>
  <c r="F2" i="141"/>
  <c r="I11" i="141" s="1"/>
  <c r="R6" i="138"/>
  <c r="L5" i="140"/>
  <c r="F2" i="140"/>
  <c r="E2" i="140"/>
  <c r="N14" i="140" s="1"/>
  <c r="G2" i="134"/>
  <c r="E2" i="134"/>
  <c r="E8" i="134" s="1"/>
  <c r="F2" i="138"/>
  <c r="E2" i="138"/>
  <c r="S12" i="138" s="1"/>
  <c r="E2" i="137"/>
  <c r="I10" i="137"/>
  <c r="O11" i="137"/>
  <c r="G2" i="137"/>
  <c r="H10" i="137" s="1"/>
  <c r="E2" i="136"/>
  <c r="O15" i="136" s="1"/>
  <c r="O13" i="136"/>
  <c r="G2" i="136"/>
  <c r="H10" i="136"/>
  <c r="E2" i="132"/>
  <c r="O14" i="132" s="1"/>
  <c r="G2" i="132"/>
  <c r="K11" i="137"/>
  <c r="M11" i="137" s="1"/>
  <c r="K11" i="136"/>
  <c r="M11" i="136" s="1"/>
  <c r="M13" i="136"/>
  <c r="K11" i="132"/>
  <c r="D2" i="137"/>
  <c r="C2" i="137"/>
  <c r="M5" i="137" s="1"/>
  <c r="K15" i="137"/>
  <c r="K14" i="137"/>
  <c r="D2" i="136"/>
  <c r="N5" i="136" s="1"/>
  <c r="C2" i="136"/>
  <c r="M5" i="136"/>
  <c r="D15" i="136" s="1"/>
  <c r="K15" i="136"/>
  <c r="M15" i="136" s="1"/>
  <c r="B17" i="136" s="1"/>
  <c r="K14" i="136"/>
  <c r="K15" i="132"/>
  <c r="K14" i="132"/>
  <c r="D2" i="132"/>
  <c r="N13" i="132" s="1"/>
  <c r="N5" i="132"/>
  <c r="C2" i="132"/>
  <c r="M14" i="132" s="1"/>
  <c r="B16" i="132" s="1"/>
  <c r="M5" i="132"/>
  <c r="D15" i="132"/>
  <c r="D16" i="132"/>
  <c r="M13" i="132"/>
  <c r="B15" i="132"/>
  <c r="O12" i="137"/>
  <c r="O5" i="137"/>
  <c r="O13" i="137"/>
  <c r="N5" i="142"/>
  <c r="C9" i="134" s="1"/>
  <c r="S11" i="141"/>
  <c r="O11" i="136"/>
  <c r="G10" i="137"/>
  <c r="M12" i="132"/>
  <c r="N12" i="132"/>
  <c r="M15" i="132"/>
  <c r="B17" i="132" s="1"/>
  <c r="M11" i="132"/>
  <c r="D13" i="132"/>
  <c r="D11" i="132"/>
  <c r="M12" i="136"/>
  <c r="B13" i="136"/>
  <c r="O5" i="136"/>
  <c r="M14" i="136"/>
  <c r="B16" i="136" s="1"/>
  <c r="B11" i="132"/>
  <c r="P6" i="138"/>
  <c r="D13" i="138" s="1"/>
  <c r="M14" i="140"/>
  <c r="M6" i="140"/>
  <c r="R11" i="141"/>
  <c r="P12" i="141"/>
  <c r="B14" i="141"/>
  <c r="E11" i="142"/>
  <c r="P5" i="142"/>
  <c r="P12" i="142"/>
  <c r="M13" i="140"/>
  <c r="N13" i="140"/>
  <c r="M5" i="140"/>
  <c r="E12" i="140"/>
  <c r="N5" i="137"/>
  <c r="C11" i="134"/>
  <c r="D24" i="133"/>
  <c r="E9" i="134"/>
  <c r="B15" i="136"/>
  <c r="C17" i="136"/>
  <c r="D11" i="136"/>
  <c r="D16" i="136"/>
  <c r="P6" i="141"/>
  <c r="P11" i="141"/>
  <c r="B12" i="141" s="1"/>
  <c r="Q13" i="138"/>
  <c r="S12" i="141"/>
  <c r="N12" i="136"/>
  <c r="R5" i="141"/>
  <c r="O5" i="132"/>
  <c r="R12" i="138"/>
  <c r="B13" i="132"/>
  <c r="C17" i="132"/>
  <c r="O15" i="132"/>
  <c r="O14" i="137"/>
  <c r="O15" i="137"/>
  <c r="O12" i="132"/>
  <c r="O11" i="132"/>
  <c r="R12" i="141"/>
  <c r="E11" i="141"/>
  <c r="D15" i="141"/>
  <c r="D13" i="141"/>
  <c r="D15" i="137" l="1"/>
  <c r="D13" i="137"/>
  <c r="C17" i="137"/>
  <c r="D16" i="137"/>
  <c r="D11" i="137"/>
  <c r="N11" i="136"/>
  <c r="B11" i="136"/>
  <c r="C12" i="141"/>
  <c r="B11" i="137"/>
  <c r="N11" i="137"/>
  <c r="L21" i="133"/>
  <c r="L24" i="133"/>
  <c r="M15" i="137"/>
  <c r="H10" i="132"/>
  <c r="H11" i="138"/>
  <c r="I11" i="142"/>
  <c r="M12" i="137"/>
  <c r="O13" i="132"/>
  <c r="D12" i="142"/>
  <c r="G10" i="132"/>
  <c r="N13" i="136"/>
  <c r="C14" i="141"/>
  <c r="N15" i="136"/>
  <c r="D13" i="136"/>
  <c r="N14" i="132"/>
  <c r="D12" i="141"/>
  <c r="Q12" i="142"/>
  <c r="R13" i="138"/>
  <c r="D15" i="138"/>
  <c r="N11" i="132"/>
  <c r="O14" i="136"/>
  <c r="O12" i="136"/>
  <c r="M14" i="137"/>
  <c r="P5" i="138"/>
  <c r="C12" i="138"/>
  <c r="Q12" i="141"/>
  <c r="N14" i="136"/>
  <c r="K14" i="140"/>
  <c r="B14" i="140" s="1"/>
  <c r="M13" i="137"/>
  <c r="H11" i="141"/>
  <c r="I10" i="136"/>
  <c r="L11" i="138"/>
  <c r="R5" i="138"/>
  <c r="I10" i="132"/>
  <c r="S13" i="138"/>
  <c r="E11" i="138"/>
  <c r="O5" i="142"/>
  <c r="I11" i="138"/>
  <c r="Q5" i="141"/>
  <c r="G10" i="136"/>
  <c r="N15" i="132"/>
  <c r="Q6" i="141"/>
  <c r="B15" i="137" l="1"/>
  <c r="N13" i="137"/>
  <c r="D14" i="138"/>
  <c r="D12" i="138"/>
  <c r="C10" i="134"/>
  <c r="N14" i="137"/>
  <c r="B16" i="137"/>
  <c r="B13" i="137"/>
  <c r="N12" i="137"/>
  <c r="N15" i="137"/>
  <c r="B17" i="137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<sst xmlns="http://schemas.openxmlformats.org/spreadsheetml/2006/main" count="641" uniqueCount="185">
  <si>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</si>
  <si>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</si>
  <si>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</si>
  <si>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</si>
  <si>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</si>
  <si>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</si>
  <si>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</si>
  <si>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</si>
  <si>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</si>
  <si>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</si>
  <si>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</si>
  <si>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</si>
  <si>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</si>
  <si>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</si>
  <si>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</si>
  <si>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</si>
  <si>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</si>
  <si>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</si>
  <si>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</si>
  <si>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</si>
  <si>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</si>
  <si>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</si>
  <si>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</si>
  <si>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</si>
  <si>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</si>
  <si>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</si>
  <si>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</si>
  <si>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</si>
  <si>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</si>
  <si>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</si>
  <si>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</si>
  <si>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</si>
  <si>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</si>
  <si>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</si>
  <si>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</si>
  <si>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</si>
  <si>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</si>
  <si>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</si>
  <si>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</si>
  <si>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</si>
  <si>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</si>
  <si>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</si>
  <si>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</si>
  <si>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</si>
  <si>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</si>
  <si>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</si>
  <si>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</si>
  <si>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</si>
  <si>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</si>
  <si>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</si>
  <si>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</si>
  <si>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</si>
  <si>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</si>
  <si>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</si>
  <si>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</si>
  <si>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</si>
  <si>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</si>
  <si>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</si>
  <si>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</si>
  <si>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</si>
  <si>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</si>
  <si>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</si>
  <si>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</si>
  <si>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</si>
  <si>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</si>
  <si>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</si>
  <si>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</si>
  <si>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</si>
  <si>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</si>
  <si>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</si>
  <si>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</si>
  <si>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</si>
  <si>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</si>
  <si>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</si>
  <si>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</si>
  <si>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</si>
  <si>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</si>
  <si>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</si>
  <si>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</si>
  <si>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</si>
  <si>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</si>
  <si>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</si>
  <si>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</si>
  <si>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</si>
  <si>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</si>
  <si>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</si>
  <si>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</si>
  <si>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</si>
  <si>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</si>
  <si>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</si>
  <si>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</si>
  <si>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</si>
  <si>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</si>
  <si>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</si>
  <si>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</si>
  <si>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</si>
  <si>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</si>
  <si>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</si>
  <si>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</si>
  <si>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</si>
  <si>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</si>
  <si>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</si>
  <si>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</si>
  <si>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</si>
  <si>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</si>
  <si>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</si>
  <si>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</si>
  <si>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</si>
  <si>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</si>
  <si>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</si>
  <si>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</si>
  <si>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</si>
  <si>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</si>
  <si>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</si>
  <si>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</si>
  <si>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</si>
  <si>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</si>
  <si>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</si>
  <si>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</si>
  <si>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</si>
  <si>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</si>
  <si>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</si>
  <si>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</si>
  <si>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</si>
  <si>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</si>
  <si>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</si>
  <si>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</si>
  <si>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</si>
  <si>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</si>
  <si>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</si>
  <si>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</si>
  <si>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</si>
  <si>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</si>
  <si>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</si>
  <si>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</si>
  <si>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</si>
  <si>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</si>
  <si>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</si>
  <si>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</si>
  <si>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</si>
  <si>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</si>
  <si>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</si>
  <si>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</si>
  <si>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</si>
  <si>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</si>
  <si>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</si>
  <si>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</si>
  <si>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</si>
  <si>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</si>
  <si>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</si>
  <si>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</si>
  <si>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</si>
  <si>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</si>
  <si>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</si>
  <si>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</si>
  <si>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</si>
  <si>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</si>
  <si>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</si>
  <si>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</si>
  <si>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</si>
  <si>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</si>
  <si>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</si>
  <si>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</si>
  <si>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</si>
  <si>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</si>
  <si>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</si>
  <si>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</si>
  <si>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</si>
  <si>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</si>
  <si>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</si>
  <si>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</si>
  <si>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Demand Sectors</t>
  </si>
  <si>
    <t>START</t>
  </si>
  <si>
    <t>New</t>
  </si>
  <si>
    <t>STOCK</t>
  </si>
  <si>
    <t>UP</t>
  </si>
  <si>
    <t>TPS</t>
  </si>
  <si>
    <t>Total Primary Supply</t>
  </si>
  <si>
    <t>Total Final Consumption</t>
  </si>
  <si>
    <t>Start Year</t>
  </si>
  <si>
    <t>Run name: DemoS_002</t>
  </si>
  <si>
    <t>Lifetime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</si>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</sst>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88" formatCode="0.0"/>
    <numFmt numFmtId="195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9" applyNumberFormat="0" applyAlignment="0" applyProtection="0"/>
    <xf numFmtId="171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9" applyNumberFormat="0" applyAlignment="0" applyProtection="0"/>
    <xf numFmtId="0" fontId="2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7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5" borderId="0" xfId="3"/>
    <xf numFmtId="0" fontId="22" fillId="0" borderId="0" xfId="6" applyFont="1" applyFill="1"/>
    <xf numFmtId="0" fontId="22" fillId="10" borderId="0" xfId="6" applyFont="1" applyFill="1"/>
    <xf numFmtId="1" fontId="4" fillId="0" borderId="0" xfId="0" applyNumberFormat="1" applyFont="1" applyFill="1"/>
    <xf numFmtId="0" fontId="23" fillId="3" borderId="3" xfId="1" applyFont="1" applyBorder="1" applyAlignment="1">
      <alignment horizontal="center" wrapText="1"/>
    </xf>
    <xf numFmtId="0" fontId="24" fillId="0" borderId="0" xfId="0" applyFont="1" applyFill="1" applyBorder="1"/>
    <xf numFmtId="0" fontId="23" fillId="3" borderId="3" xfId="1" applyFont="1" applyBorder="1" applyAlignment="1">
      <alignment horizontal="left" wrapText="1"/>
    </xf>
    <xf numFmtId="0" fontId="23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2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5" xfId="0" applyFont="1" applyBorder="1"/>
    <xf numFmtId="0" fontId="4" fillId="0" borderId="6" xfId="0" applyFont="1" applyBorder="1"/>
    <xf numFmtId="9" fontId="24" fillId="0" borderId="6" xfId="16" applyFont="1" applyBorder="1" applyAlignment="1"/>
    <xf numFmtId="0" fontId="4" fillId="0" borderId="7" xfId="0" applyFont="1" applyBorder="1"/>
    <xf numFmtId="9" fontId="24" fillId="0" borderId="7" xfId="16" applyFont="1" applyBorder="1" applyAlignment="1"/>
    <xf numFmtId="0" fontId="4" fillId="0" borderId="0" xfId="0" applyFont="1" applyBorder="1"/>
    <xf numFmtId="9" fontId="24" fillId="0" borderId="0" xfId="16" applyFont="1" applyBorder="1" applyAlignment="1"/>
    <xf numFmtId="0" fontId="17" fillId="5" borderId="0" xfId="3" applyAlignment="1">
      <alignment wrapText="1"/>
    </xf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9"/>
    <xf numFmtId="0" fontId="4" fillId="0" borderId="0" xfId="9" applyFont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8" xfId="0" applyFont="1" applyFill="1" applyBorder="1"/>
    <xf numFmtId="0" fontId="3" fillId="0" borderId="2" xfId="0" applyFont="1" applyBorder="1" applyAlignment="1">
      <alignment horizontal="center" wrapText="1"/>
    </xf>
    <xf numFmtId="0" fontId="26" fillId="0" borderId="0" xfId="0" applyFont="1" applyFill="1"/>
    <xf numFmtId="0" fontId="22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6" fillId="12" borderId="0" xfId="0" applyFont="1" applyFill="1"/>
    <xf numFmtId="187" fontId="13" fillId="13" borderId="0" xfId="0" applyNumberFormat="1" applyFont="1" applyFill="1" applyBorder="1" applyAlignment="1">
      <alignment horizontal="left" vertical="center"/>
    </xf>
    <xf numFmtId="0" fontId="0" fillId="14" borderId="0" xfId="0" applyFill="1"/>
    <xf numFmtId="187" fontId="13" fillId="13" borderId="2" xfId="0" applyNumberFormat="1" applyFont="1" applyFill="1" applyBorder="1" applyAlignment="1">
      <alignment horizontal="left" vertical="center"/>
    </xf>
    <xf numFmtId="1" fontId="0" fillId="13" borderId="2" xfId="0" applyNumberFormat="1" applyFill="1" applyBorder="1" applyAlignment="1"/>
    <xf numFmtId="1" fontId="20" fillId="8" borderId="0" xfId="7" applyNumberFormat="1" applyBorder="1" applyAlignment="1"/>
    <xf numFmtId="1" fontId="20" fillId="8" borderId="2" xfId="7" applyNumberFormat="1" applyBorder="1" applyAlignment="1"/>
    <xf numFmtId="1" fontId="20" fillId="8" borderId="1" xfId="7" applyNumberFormat="1" applyBorder="1" applyAlignment="1"/>
    <xf numFmtId="1" fontId="20" fillId="8" borderId="9" xfId="7" applyNumberFormat="1" applyBorder="1" applyAlignment="1"/>
    <xf numFmtId="1" fontId="20" fillId="8" borderId="10" xfId="7" applyNumberFormat="1" applyBorder="1" applyAlignment="1"/>
    <xf numFmtId="1" fontId="18" fillId="6" borderId="4" xfId="4" applyNumberFormat="1" applyBorder="1" applyAlignment="1">
      <alignment horizontal="right"/>
    </xf>
    <xf numFmtId="1" fontId="18" fillId="6" borderId="11" xfId="4" applyNumberFormat="1" applyBorder="1" applyAlignment="1">
      <alignment horizontal="right"/>
    </xf>
    <xf numFmtId="187" fontId="18" fillId="6" borderId="5" xfId="4" applyNumberFormat="1" applyBorder="1" applyAlignment="1">
      <alignment horizontal="right" vertical="center"/>
    </xf>
    <xf numFmtId="1" fontId="18" fillId="6" borderId="20" xfId="4" applyNumberFormat="1" applyBorder="1" applyAlignment="1">
      <alignment horizontal="right"/>
    </xf>
    <xf numFmtId="1" fontId="18" fillId="6" borderId="21" xfId="4" applyNumberFormat="1" applyBorder="1" applyAlignment="1">
      <alignment horizontal="right"/>
    </xf>
    <xf numFmtId="1" fontId="18" fillId="6" borderId="22" xfId="4" applyNumberFormat="1" applyBorder="1" applyAlignment="1">
      <alignment horizontal="right"/>
    </xf>
    <xf numFmtId="1" fontId="18" fillId="6" borderId="23" xfId="4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187" fontId="13" fillId="13" borderId="6" xfId="0" applyNumberFormat="1" applyFont="1" applyFill="1" applyBorder="1" applyAlignment="1">
      <alignment horizontal="left" vertical="center"/>
    </xf>
    <xf numFmtId="187" fontId="13" fillId="13" borderId="12" xfId="0" applyNumberFormat="1" applyFont="1" applyFill="1" applyBorder="1" applyAlignment="1">
      <alignment horizontal="left" vertical="center"/>
    </xf>
    <xf numFmtId="187" fontId="13" fillId="13" borderId="7" xfId="0" applyNumberFormat="1" applyFont="1" applyFill="1" applyBorder="1" applyAlignment="1">
      <alignment horizontal="left" vertical="center"/>
    </xf>
    <xf numFmtId="187" fontId="13" fillId="13" borderId="9" xfId="0" applyNumberFormat="1" applyFont="1" applyFill="1" applyBorder="1" applyAlignment="1">
      <alignment horizontal="left" vertical="center"/>
    </xf>
    <xf numFmtId="187" fontId="13" fillId="13" borderId="10" xfId="0" applyNumberFormat="1" applyFont="1" applyFill="1" applyBorder="1" applyAlignment="1">
      <alignment horizontal="left" vertical="center"/>
    </xf>
    <xf numFmtId="187" fontId="13" fillId="13" borderId="1" xfId="0" applyNumberFormat="1" applyFont="1" applyFill="1" applyBorder="1" applyAlignment="1">
      <alignment horizontal="left" vertical="center"/>
    </xf>
    <xf numFmtId="187" fontId="13" fillId="13" borderId="13" xfId="0" applyNumberFormat="1" applyFont="1" applyFill="1" applyBorder="1" applyAlignment="1">
      <alignment horizontal="left" vertical="center"/>
    </xf>
    <xf numFmtId="187" fontId="13" fillId="13" borderId="14" xfId="0" applyNumberFormat="1" applyFont="1" applyFill="1" applyBorder="1" applyAlignment="1">
      <alignment horizontal="left" vertical="center"/>
    </xf>
    <xf numFmtId="187" fontId="13" fillId="13" borderId="15" xfId="0" applyNumberFormat="1" applyFont="1" applyFill="1" applyBorder="1" applyAlignment="1">
      <alignment horizontal="left" vertical="center"/>
    </xf>
    <xf numFmtId="187" fontId="13" fillId="13" borderId="16" xfId="0" applyNumberFormat="1" applyFont="1" applyFill="1" applyBorder="1" applyAlignment="1">
      <alignment horizontal="left" vertical="center"/>
    </xf>
    <xf numFmtId="0" fontId="3" fillId="12" borderId="17" xfId="0" applyFont="1" applyFill="1" applyBorder="1" applyAlignment="1">
      <alignment wrapText="1"/>
    </xf>
    <xf numFmtId="0" fontId="25" fillId="0" borderId="5" xfId="0" applyFont="1" applyBorder="1" applyAlignment="1">
      <alignment horizontal="center"/>
    </xf>
    <xf numFmtId="187" fontId="13" fillId="13" borderId="12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wrapText="1"/>
    </xf>
    <xf numFmtId="187" fontId="13" fillId="13" borderId="7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wrapText="1"/>
    </xf>
    <xf numFmtId="0" fontId="26" fillId="12" borderId="11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2" fontId="4" fillId="14" borderId="0" xfId="0" applyNumberFormat="1" applyFont="1" applyFill="1" applyBorder="1"/>
    <xf numFmtId="2" fontId="0" fillId="14" borderId="0" xfId="0" applyNumberFormat="1" applyFill="1" applyBorder="1"/>
    <xf numFmtId="1" fontId="0" fillId="14" borderId="0" xfId="0" applyNumberFormat="1" applyFill="1" applyBorder="1"/>
    <xf numFmtId="0" fontId="27" fillId="0" borderId="0" xfId="0" applyFont="1"/>
    <xf numFmtId="0" fontId="3" fillId="16" borderId="0" xfId="0" applyFont="1" applyFill="1"/>
    <xf numFmtId="0" fontId="0" fillId="0" borderId="0" xfId="0" applyFill="1" applyAlignment="1"/>
    <xf numFmtId="0" fontId="0" fillId="14" borderId="0" xfId="0" applyFill="1" applyBorder="1"/>
    <xf numFmtId="0" fontId="3" fillId="2" borderId="1" xfId="0" applyFont="1" applyFill="1" applyBorder="1" applyAlignment="1">
      <alignment horizontal="center" vertical="center"/>
    </xf>
    <xf numFmtId="0" fontId="23" fillId="3" borderId="1" xfId="1" applyFont="1" applyBorder="1" applyAlignment="1">
      <alignment horizontal="center" wrapText="1"/>
    </xf>
    <xf numFmtId="0" fontId="3" fillId="2" borderId="1" xfId="11" applyFont="1" applyFill="1" applyBorder="1" applyAlignment="1">
      <alignment horizontal="center" vertical="center" wrapText="1"/>
    </xf>
    <xf numFmtId="0" fontId="3" fillId="2" borderId="1" xfId="11" applyFont="1" applyFill="1" applyBorder="1" applyAlignment="1">
      <alignment horizontal="center" vertical="center"/>
    </xf>
    <xf numFmtId="0" fontId="23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" fontId="4" fillId="15" borderId="0" xfId="8" applyNumberFormat="1" applyFont="1" applyFill="1"/>
    <xf numFmtId="0" fontId="4" fillId="0" borderId="0" xfId="9" applyFill="1"/>
    <xf numFmtId="0" fontId="4" fillId="0" borderId="0" xfId="9" applyFont="1" applyFill="1"/>
    <xf numFmtId="2" fontId="4" fillId="14" borderId="0" xfId="9" applyNumberFormat="1" applyFill="1"/>
    <xf numFmtId="0" fontId="4" fillId="14" borderId="0" xfId="9" applyFill="1"/>
    <xf numFmtId="0" fontId="4" fillId="0" borderId="0" xfId="9" applyFill="1" applyAlignment="1"/>
    <xf numFmtId="1" fontId="4" fillId="0" borderId="0" xfId="9" applyNumberFormat="1" applyFill="1"/>
    <xf numFmtId="2" fontId="4" fillId="0" borderId="0" xfId="9" applyNumberFormat="1" applyFill="1"/>
    <xf numFmtId="1" fontId="4" fillId="0" borderId="0" xfId="9" applyNumberFormat="1" applyBorder="1"/>
    <xf numFmtId="2" fontId="4" fillId="0" borderId="0" xfId="9" applyNumberFormat="1" applyFill="1" applyBorder="1"/>
    <xf numFmtId="0" fontId="4" fillId="0" borderId="0" xfId="9" applyFill="1" applyAlignment="1">
      <alignment wrapText="1"/>
    </xf>
    <xf numFmtId="0" fontId="24" fillId="0" borderId="0" xfId="9" applyFont="1" applyFill="1" applyBorder="1"/>
    <xf numFmtId="0" fontId="4" fillId="15" borderId="0" xfId="9" applyFill="1"/>
    <xf numFmtId="0" fontId="17" fillId="4" borderId="0" xfId="2"/>
    <xf numFmtId="187" fontId="12" fillId="0" borderId="17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87" fontId="13" fillId="11" borderId="10" xfId="0" applyNumberFormat="1" applyFont="1" applyFill="1" applyBorder="1" applyAlignment="1">
      <alignment horizontal="left" vertical="center"/>
    </xf>
    <xf numFmtId="1" fontId="3" fillId="11" borderId="14" xfId="0" applyNumberFormat="1" applyFont="1" applyFill="1" applyBorder="1" applyAlignment="1"/>
    <xf numFmtId="187" fontId="12" fillId="0" borderId="15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3" fillId="14" borderId="14" xfId="0" applyNumberFormat="1" applyFont="1" applyFill="1" applyBorder="1" applyAlignment="1"/>
    <xf numFmtId="1" fontId="0" fillId="13" borderId="0" xfId="0" applyNumberFormat="1" applyFill="1" applyBorder="1" applyAlignment="1"/>
    <xf numFmtId="0" fontId="0" fillId="13" borderId="0" xfId="0" applyFill="1" applyBorder="1" applyAlignment="1"/>
    <xf numFmtId="1" fontId="3" fillId="13" borderId="14" xfId="0" applyNumberFormat="1" applyFont="1" applyFill="1" applyBorder="1" applyAlignment="1"/>
    <xf numFmtId="1" fontId="3" fillId="13" borderId="16" xfId="0" applyNumberFormat="1" applyFont="1" applyFill="1" applyBorder="1" applyAlignment="1"/>
    <xf numFmtId="0" fontId="3" fillId="12" borderId="4" xfId="0" applyFont="1" applyFill="1" applyBorder="1" applyAlignment="1">
      <alignment wrapText="1"/>
    </xf>
    <xf numFmtId="0" fontId="3" fillId="12" borderId="11" xfId="0" applyFont="1" applyFill="1" applyBorder="1" applyAlignment="1">
      <alignment wrapText="1"/>
    </xf>
    <xf numFmtId="0" fontId="26" fillId="12" borderId="4" xfId="0" applyFont="1" applyFill="1" applyBorder="1" applyAlignment="1">
      <alignment wrapText="1"/>
    </xf>
    <xf numFmtId="0" fontId="23" fillId="3" borderId="3" xfId="1" applyFont="1" applyBorder="1" applyAlignment="1">
      <alignment wrapText="1"/>
    </xf>
    <xf numFmtId="1" fontId="4" fillId="14" borderId="0" xfId="8" applyNumberFormat="1" applyFont="1" applyFill="1"/>
    <xf numFmtId="1" fontId="4" fillId="14" borderId="0" xfId="0" applyNumberFormat="1" applyFont="1" applyFill="1" applyBorder="1"/>
    <xf numFmtId="0" fontId="23" fillId="3" borderId="4" xfId="1" applyFont="1" applyBorder="1" applyAlignment="1">
      <alignment horizontal="left" wrapText="1"/>
    </xf>
    <xf numFmtId="0" fontId="23" fillId="3" borderId="1" xfId="1" applyFont="1" applyBorder="1" applyAlignment="1">
      <alignment wrapText="1"/>
    </xf>
    <xf numFmtId="0" fontId="23" fillId="3" borderId="4" xfId="1" applyFont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wrapText="1"/>
    </xf>
    <xf numFmtId="1" fontId="0" fillId="0" borderId="0" xfId="0" applyNumberFormat="1" applyFill="1" applyBorder="1"/>
    <xf numFmtId="0" fontId="4" fillId="0" borderId="0" xfId="8" applyFont="1" applyFill="1"/>
    <xf numFmtId="2" fontId="4" fillId="0" borderId="0" xfId="0" applyNumberFormat="1" applyFont="1" applyFill="1" applyBorder="1"/>
    <xf numFmtId="188" fontId="0" fillId="14" borderId="0" xfId="0" applyNumberFormat="1" applyFill="1" applyBorder="1"/>
    <xf numFmtId="1" fontId="0" fillId="0" borderId="0" xfId="0" applyNumberFormat="1" applyFill="1"/>
    <xf numFmtId="2" fontId="4" fillId="14" borderId="0" xfId="8" applyNumberFormat="1" applyFont="1" applyFill="1" applyBorder="1"/>
    <xf numFmtId="0" fontId="4" fillId="14" borderId="0" xfId="8" applyFont="1" applyFill="1" applyBorder="1"/>
    <xf numFmtId="1" fontId="4" fillId="0" borderId="0" xfId="0" applyNumberFormat="1" applyFont="1" applyFill="1" applyBorder="1"/>
    <xf numFmtId="1" fontId="4" fillId="0" borderId="0" xfId="8" applyNumberFormat="1" applyFont="1" applyFill="1" applyBorder="1"/>
    <xf numFmtId="2" fontId="4" fillId="0" borderId="0" xfId="8" applyNumberFormat="1" applyFont="1" applyFill="1" applyBorder="1"/>
    <xf numFmtId="0" fontId="4" fillId="0" borderId="0" xfId="8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3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3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0" fillId="0" borderId="0" xfId="0" applyNumberFormat="1" applyFill="1" applyAlignment="1"/>
    <xf numFmtId="195" fontId="5" fillId="0" borderId="0" xfId="9" applyNumberFormat="1" applyFont="1"/>
    <xf numFmtId="195" fontId="4" fillId="0" borderId="0" xfId="9" applyNumberFormat="1" applyFont="1"/>
    <xf numFmtId="195" fontId="3" fillId="2" borderId="1" xfId="9" applyNumberFormat="1" applyFont="1" applyFill="1" applyBorder="1" applyAlignment="1">
      <alignment horizontal="left"/>
    </xf>
    <xf numFmtId="195" fontId="3" fillId="2" borderId="4" xfId="9" applyNumberFormat="1" applyFont="1" applyFill="1" applyBorder="1" applyAlignment="1">
      <alignment horizontal="left"/>
    </xf>
    <xf numFmtId="195" fontId="4" fillId="0" borderId="0" xfId="9" applyNumberFormat="1" applyFont="1" applyFill="1"/>
    <xf numFmtId="195" fontId="4" fillId="0" borderId="0" xfId="9" applyNumberFormat="1" applyFill="1"/>
    <xf numFmtId="195" fontId="4" fillId="0" borderId="0" xfId="9" applyNumberFormat="1"/>
    <xf numFmtId="195" fontId="4" fillId="0" borderId="0" xfId="9" applyNumberFormat="1" applyFill="1" applyAlignment="1"/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4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D23DE0-1EBE-4A76-BC25-4AE936CA93AC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2CC6C1-C10D-4254-AB00-01B1F16C8337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14</xdr:row>
      <xdr:rowOff>144780</xdr:rowOff>
    </xdr:from>
    <xdr:to>
      <xdr:col>6</xdr:col>
      <xdr:colOff>352419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70F362-2224-4706-BCCB-33C76B6B41F1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base year. The COA demand defined in this sheet is the sum of Conversion and Final coal.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6547" name="Picture 6">
          <a:extLst>
            <a:ext uri="{FF2B5EF4-FFF2-40B4-BE49-F238E27FC236}">
              <a16:creationId xmlns:a16="http://schemas.microsoft.com/office/drawing/2014/main" id="{F6651CA9-59AA-4643-BFD1-9545A95D2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17</xdr:row>
      <xdr:rowOff>0</xdr:rowOff>
    </xdr:from>
    <xdr:to>
      <xdr:col>9</xdr:col>
      <xdr:colOff>142875</xdr:colOff>
      <xdr:row>31</xdr:row>
      <xdr:rowOff>28575</xdr:rowOff>
    </xdr:to>
    <xdr:pic>
      <xdr:nvPicPr>
        <xdr:cNvPr id="56548" name="Picture 3">
          <a:extLst>
            <a:ext uri="{FF2B5EF4-FFF2-40B4-BE49-F238E27FC236}">
              <a16:creationId xmlns:a16="http://schemas.microsoft.com/office/drawing/2014/main" id="{2CFCDFB2-92F1-4D98-AA22-B54AD75DD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2750"/>
          <a:ext cx="3733800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31</xdr:row>
      <xdr:rowOff>47625</xdr:rowOff>
    </xdr:from>
    <xdr:to>
      <xdr:col>9</xdr:col>
      <xdr:colOff>142875</xdr:colOff>
      <xdr:row>44</xdr:row>
      <xdr:rowOff>85725</xdr:rowOff>
    </xdr:to>
    <xdr:pic>
      <xdr:nvPicPr>
        <xdr:cNvPr id="56549" name="Picture 1">
          <a:extLst>
            <a:ext uri="{FF2B5EF4-FFF2-40B4-BE49-F238E27FC236}">
              <a16:creationId xmlns:a16="http://schemas.microsoft.com/office/drawing/2014/main" id="{E58491C9-D8C0-4F11-AADF-62880E65F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267325"/>
          <a:ext cx="37338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44</xdr:row>
      <xdr:rowOff>104775</xdr:rowOff>
    </xdr:from>
    <xdr:to>
      <xdr:col>9</xdr:col>
      <xdr:colOff>161925</xdr:colOff>
      <xdr:row>58</xdr:row>
      <xdr:rowOff>0</xdr:rowOff>
    </xdr:to>
    <xdr:pic>
      <xdr:nvPicPr>
        <xdr:cNvPr id="56550" name="Picture 2">
          <a:extLst>
            <a:ext uri="{FF2B5EF4-FFF2-40B4-BE49-F238E27FC236}">
              <a16:creationId xmlns:a16="http://schemas.microsoft.com/office/drawing/2014/main" id="{248D3A37-C10B-4595-8D1A-90EBA157D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29500"/>
          <a:ext cx="3752850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25</xdr:row>
      <xdr:rowOff>85725</xdr:rowOff>
    </xdr:from>
    <xdr:to>
      <xdr:col>15</xdr:col>
      <xdr:colOff>228600</xdr:colOff>
      <xdr:row>34</xdr:row>
      <xdr:rowOff>57150</xdr:rowOff>
    </xdr:to>
    <xdr:pic>
      <xdr:nvPicPr>
        <xdr:cNvPr id="56551" name="Picture 4">
          <a:extLst>
            <a:ext uri="{FF2B5EF4-FFF2-40B4-BE49-F238E27FC236}">
              <a16:creationId xmlns:a16="http://schemas.microsoft.com/office/drawing/2014/main" id="{9630C44F-4F5E-474D-A5E8-6BEA3899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333875"/>
          <a:ext cx="22383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17</xdr:row>
      <xdr:rowOff>28575</xdr:rowOff>
    </xdr:from>
    <xdr:to>
      <xdr:col>15</xdr:col>
      <xdr:colOff>228600</xdr:colOff>
      <xdr:row>25</xdr:row>
      <xdr:rowOff>142875</xdr:rowOff>
    </xdr:to>
    <xdr:pic>
      <xdr:nvPicPr>
        <xdr:cNvPr id="56552" name="Picture 5">
          <a:extLst>
            <a:ext uri="{FF2B5EF4-FFF2-40B4-BE49-F238E27FC236}">
              <a16:creationId xmlns:a16="http://schemas.microsoft.com/office/drawing/2014/main" id="{E8DA77D8-F6B2-47B7-BD9B-0E77D977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981325"/>
          <a:ext cx="223837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35</xdr:row>
      <xdr:rowOff>28575</xdr:rowOff>
    </xdr:from>
    <xdr:to>
      <xdr:col>15</xdr:col>
      <xdr:colOff>238125</xdr:colOff>
      <xdr:row>43</xdr:row>
      <xdr:rowOff>123825</xdr:rowOff>
    </xdr:to>
    <xdr:pic>
      <xdr:nvPicPr>
        <xdr:cNvPr id="56553" name="Picture 6">
          <a:extLst>
            <a:ext uri="{FF2B5EF4-FFF2-40B4-BE49-F238E27FC236}">
              <a16:creationId xmlns:a16="http://schemas.microsoft.com/office/drawing/2014/main" id="{004B7DEC-85A0-456C-80CB-D67FEA930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5895975"/>
          <a:ext cx="22479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43</xdr:row>
      <xdr:rowOff>123825</xdr:rowOff>
    </xdr:from>
    <xdr:to>
      <xdr:col>15</xdr:col>
      <xdr:colOff>238125</xdr:colOff>
      <xdr:row>52</xdr:row>
      <xdr:rowOff>47625</xdr:rowOff>
    </xdr:to>
    <xdr:pic>
      <xdr:nvPicPr>
        <xdr:cNvPr id="56554" name="Picture 7">
          <a:extLst>
            <a:ext uri="{FF2B5EF4-FFF2-40B4-BE49-F238E27FC236}">
              <a16:creationId xmlns:a16="http://schemas.microsoft.com/office/drawing/2014/main" id="{0EE87D3E-7635-4494-A855-47ED614AE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7286625"/>
          <a:ext cx="22479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314325</xdr:colOff>
      <xdr:row>3</xdr:row>
      <xdr:rowOff>9525</xdr:rowOff>
    </xdr:from>
    <xdr:to>
      <xdr:col>9</xdr:col>
      <xdr:colOff>9525</xdr:colOff>
      <xdr:row>12</xdr:row>
      <xdr:rowOff>19050</xdr:rowOff>
    </xdr:to>
    <xdr:pic>
      <xdr:nvPicPr>
        <xdr:cNvPr id="56555" name="Picture 1">
          <a:extLst>
            <a:ext uri="{FF2B5EF4-FFF2-40B4-BE49-F238E27FC236}">
              <a16:creationId xmlns:a16="http://schemas.microsoft.com/office/drawing/2014/main" id="{4E1B99C1-B976-4470-AB93-AFD18F67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628650"/>
          <a:ext cx="274320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38100</xdr:colOff>
      <xdr:row>4</xdr:row>
      <xdr:rowOff>9525</xdr:rowOff>
    </xdr:from>
    <xdr:to>
      <xdr:col>17</xdr:col>
      <xdr:colOff>276225</xdr:colOff>
      <xdr:row>12</xdr:row>
      <xdr:rowOff>0</xdr:rowOff>
    </xdr:to>
    <xdr:pic>
      <xdr:nvPicPr>
        <xdr:cNvPr id="56556" name="Picture 2">
          <a:extLst>
            <a:ext uri="{FF2B5EF4-FFF2-40B4-BE49-F238E27FC236}">
              <a16:creationId xmlns:a16="http://schemas.microsoft.com/office/drawing/2014/main" id="{20FC6146-C956-4FBD-91F7-DBE6029BE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790575"/>
          <a:ext cx="34861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3BFCB7-6ED1-4842-B017-A7E1AABAAFD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14</xdr:col>
      <xdr:colOff>1876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FB35C7-8CC8-4792-AD56-BA5B83543058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96F978-A192-4C26-BA75-5303A5B6A04B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18</xdr:row>
      <xdr:rowOff>28575</xdr:rowOff>
    </xdr:from>
    <xdr:to>
      <xdr:col>12</xdr:col>
      <xdr:colOff>17145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A10935-5A4A-475E-89FC-198EB17EF7B5}"/>
            </a:ext>
          </a:extLst>
        </xdr:cNvPr>
        <xdr:cNvSpPr txBox="1"/>
      </xdr:nvSpPr>
      <xdr:spPr>
        <a:xfrm>
          <a:off x="5975985" y="3943350"/>
          <a:ext cx="62236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4B5DD4-3E4A-42D8-9817-CFEF1FFE2A26}"/>
            </a:ext>
          </a:extLst>
        </xdr:cNvPr>
        <xdr:cNvSpPr txBox="1"/>
      </xdr:nvSpPr>
      <xdr:spPr>
        <a:xfrm>
          <a:off x="6863714" y="3124200"/>
          <a:ext cx="733626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D271AF-EC24-4900-9B6B-8FA2D95B72B4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355DCD-341A-4953-914F-12F888C5A950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1.85546875" customWidth="1"/>
    <col min="6" max="6" width="14" customWidth="1"/>
    <col min="7" max="11" width="12.7109375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8" customFormat="1" x14ac:dyDescent="0.2">
      <c r="P1" s="31" t="s">
        <v>118</v>
      </c>
      <c r="Q1" s="1" t="s">
        <v>119</v>
      </c>
      <c r="R1" s="1" t="s">
        <v>120</v>
      </c>
      <c r="S1" s="1" t="s">
        <v>140</v>
      </c>
    </row>
    <row r="2" spans="1:19" ht="15.75" x14ac:dyDescent="0.25">
      <c r="C2" s="9"/>
      <c r="D2" s="89" t="s">
        <v>47</v>
      </c>
      <c r="E2" s="140" t="s">
        <v>48</v>
      </c>
      <c r="F2" s="140" t="s">
        <v>49</v>
      </c>
      <c r="G2" s="140" t="s">
        <v>50</v>
      </c>
      <c r="H2" s="140" t="s">
        <v>51</v>
      </c>
      <c r="I2" s="140" t="s">
        <v>52</v>
      </c>
      <c r="J2" s="140" t="s">
        <v>53</v>
      </c>
      <c r="K2" s="90" t="s">
        <v>54</v>
      </c>
      <c r="L2" s="40"/>
      <c r="M2" s="8"/>
      <c r="P2" s="10"/>
      <c r="Q2" s="53" t="s">
        <v>164</v>
      </c>
      <c r="R2" s="17" t="s">
        <v>97</v>
      </c>
      <c r="S2" s="17" t="s">
        <v>141</v>
      </c>
    </row>
    <row r="3" spans="1:19" ht="25.5" x14ac:dyDescent="0.2">
      <c r="C3" s="11"/>
      <c r="D3" s="84" t="s">
        <v>55</v>
      </c>
      <c r="E3" s="138" t="s">
        <v>56</v>
      </c>
      <c r="F3" s="138" t="s">
        <v>184</v>
      </c>
      <c r="G3" s="138" t="s">
        <v>57</v>
      </c>
      <c r="H3" s="138" t="s">
        <v>58</v>
      </c>
      <c r="I3" s="138" t="s">
        <v>59</v>
      </c>
      <c r="J3" s="138" t="s">
        <v>60</v>
      </c>
      <c r="K3" s="139" t="s">
        <v>111</v>
      </c>
      <c r="L3" s="51" t="s">
        <v>61</v>
      </c>
      <c r="M3" s="8"/>
    </row>
    <row r="4" spans="1:19" x14ac:dyDescent="0.2">
      <c r="C4" s="125" t="s">
        <v>62</v>
      </c>
      <c r="D4" s="126"/>
      <c r="E4" s="126"/>
      <c r="F4" s="126"/>
      <c r="G4" s="127"/>
      <c r="H4" s="127"/>
      <c r="I4" s="127"/>
      <c r="J4" s="127"/>
      <c r="K4" s="127"/>
      <c r="L4" s="128"/>
      <c r="M4" s="8"/>
    </row>
    <row r="5" spans="1:19" ht="15" x14ac:dyDescent="0.25">
      <c r="B5" s="55" t="s">
        <v>63</v>
      </c>
      <c r="C5" s="129" t="s">
        <v>64</v>
      </c>
      <c r="D5" s="63">
        <v>8098.3580000000002</v>
      </c>
      <c r="E5" s="62">
        <v>7899.4970000000003</v>
      </c>
      <c r="F5" s="62">
        <v>5378.5119999999997</v>
      </c>
      <c r="G5" s="54">
        <v>10775.148999999999</v>
      </c>
      <c r="H5" s="54">
        <v>5026.6000000000004</v>
      </c>
      <c r="I5" s="54">
        <v>0</v>
      </c>
      <c r="J5" s="54">
        <v>0</v>
      </c>
      <c r="K5" s="54">
        <v>0</v>
      </c>
      <c r="L5" s="130">
        <f>SUM(D5:K5)</f>
        <v>37178.115999999995</v>
      </c>
      <c r="M5" s="8"/>
      <c r="P5" s="12"/>
    </row>
    <row r="6" spans="1:19" ht="15" x14ac:dyDescent="0.25">
      <c r="B6" s="55" t="s">
        <v>65</v>
      </c>
      <c r="C6" s="129" t="s">
        <v>66</v>
      </c>
      <c r="D6" s="64">
        <v>6462.6710000000003</v>
      </c>
      <c r="E6" s="60">
        <v>13291.728999999999</v>
      </c>
      <c r="F6" s="60">
        <v>39959.980000000003</v>
      </c>
      <c r="G6" s="54">
        <v>0</v>
      </c>
      <c r="H6" s="54">
        <v>113.01900000000001</v>
      </c>
      <c r="I6" s="54">
        <v>7.0000000000000001E-3</v>
      </c>
      <c r="J6" s="54">
        <v>0.153</v>
      </c>
      <c r="K6" s="54">
        <v>1167.52</v>
      </c>
      <c r="L6" s="130">
        <f>SUM(D6:K6)</f>
        <v>60995.078999999998</v>
      </c>
      <c r="M6" s="8"/>
    </row>
    <row r="7" spans="1:19" ht="15" x14ac:dyDescent="0.25">
      <c r="B7" s="55" t="s">
        <v>67</v>
      </c>
      <c r="C7" s="129" t="s">
        <v>68</v>
      </c>
      <c r="D7" s="64">
        <v>-1147.069</v>
      </c>
      <c r="E7" s="60">
        <v>-2516.3310000000001</v>
      </c>
      <c r="F7" s="60">
        <v>-14830.662</v>
      </c>
      <c r="G7" s="54">
        <v>0</v>
      </c>
      <c r="H7" s="54">
        <v>-72.403999999999996</v>
      </c>
      <c r="I7" s="54">
        <v>0</v>
      </c>
      <c r="J7" s="54">
        <v>-0.129</v>
      </c>
      <c r="K7" s="54">
        <v>-1126.8040000000001</v>
      </c>
      <c r="L7" s="130">
        <f>SUM(D7:K7)</f>
        <v>-19693.399000000001</v>
      </c>
      <c r="M7" s="8"/>
      <c r="P7" s="12"/>
    </row>
    <row r="8" spans="1:19" ht="15" x14ac:dyDescent="0.25">
      <c r="B8" s="124" t="s">
        <v>176</v>
      </c>
      <c r="C8" s="67" t="s">
        <v>177</v>
      </c>
      <c r="D8" s="68">
        <f t="shared" ref="D8:L8" si="0">SUM(D5:D7)</f>
        <v>13413.960000000001</v>
      </c>
      <c r="E8" s="69">
        <f t="shared" si="0"/>
        <v>18674.894999999997</v>
      </c>
      <c r="F8" s="69">
        <f t="shared" si="0"/>
        <v>30507.830000000005</v>
      </c>
      <c r="G8" s="69">
        <f t="shared" si="0"/>
        <v>10775.148999999999</v>
      </c>
      <c r="H8" s="69">
        <f t="shared" si="0"/>
        <v>5067.2150000000001</v>
      </c>
      <c r="I8" s="69">
        <f t="shared" si="0"/>
        <v>7.0000000000000001E-3</v>
      </c>
      <c r="J8" s="69">
        <f t="shared" si="0"/>
        <v>2.3999999999999994E-2</v>
      </c>
      <c r="K8" s="69">
        <f t="shared" si="0"/>
        <v>40.715999999999894</v>
      </c>
      <c r="L8" s="70">
        <f t="shared" si="0"/>
        <v>78479.795999999988</v>
      </c>
      <c r="M8" s="8"/>
    </row>
    <row r="9" spans="1:19" x14ac:dyDescent="0.2">
      <c r="B9" s="52"/>
      <c r="C9" s="131" t="s">
        <v>69</v>
      </c>
      <c r="D9" s="11"/>
      <c r="E9" s="11"/>
      <c r="F9" s="11"/>
      <c r="G9" s="11"/>
      <c r="H9" s="11"/>
      <c r="I9" s="11"/>
      <c r="J9" s="11"/>
      <c r="K9" s="11"/>
      <c r="L9" s="132"/>
      <c r="M9" s="8"/>
    </row>
    <row r="10" spans="1:19" x14ac:dyDescent="0.2">
      <c r="B10" s="55" t="s">
        <v>70</v>
      </c>
      <c r="C10" s="72" t="s">
        <v>71</v>
      </c>
      <c r="D10" s="100">
        <v>-57.637999999999998</v>
      </c>
      <c r="E10" s="100">
        <v>-792.98</v>
      </c>
      <c r="F10" s="100">
        <v>-1848.605</v>
      </c>
      <c r="G10" s="100">
        <v>0</v>
      </c>
      <c r="H10" s="100">
        <v>-4.2830000000000004</v>
      </c>
      <c r="I10" s="100">
        <v>-1.52</v>
      </c>
      <c r="J10" s="100">
        <v>0</v>
      </c>
      <c r="K10" s="100">
        <v>0</v>
      </c>
      <c r="L10" s="133">
        <f>SUM(D10:K10)</f>
        <v>-2705.0259999999998</v>
      </c>
      <c r="M10" s="8"/>
    </row>
    <row r="11" spans="1:19" x14ac:dyDescent="0.2">
      <c r="B11" s="55" t="s">
        <v>54</v>
      </c>
      <c r="C11" s="73" t="s">
        <v>72</v>
      </c>
      <c r="D11" s="100">
        <v>-9598.1200000000008</v>
      </c>
      <c r="E11" s="100">
        <v>-5635.5439999999999</v>
      </c>
      <c r="F11" s="100">
        <v>-1224.6089999999999</v>
      </c>
      <c r="G11" s="100">
        <v>-10775.148999999999</v>
      </c>
      <c r="H11" s="100">
        <v>-1255.692</v>
      </c>
      <c r="I11" s="100">
        <v>-32.948999999999998</v>
      </c>
      <c r="J11" s="100">
        <v>1737.559</v>
      </c>
      <c r="K11" s="100">
        <v>11581.038888888888</v>
      </c>
      <c r="L11" s="133">
        <f>SUM(D11:K11)</f>
        <v>-15203.465111111109</v>
      </c>
      <c r="M11" s="8"/>
    </row>
    <row r="12" spans="1:19" x14ac:dyDescent="0.2">
      <c r="B12" s="55" t="s">
        <v>73</v>
      </c>
      <c r="C12" s="73" t="s">
        <v>74</v>
      </c>
      <c r="D12" s="100">
        <v>-161.39599999999999</v>
      </c>
      <c r="E12" s="100">
        <v>-301.30099999999999</v>
      </c>
      <c r="F12" s="100">
        <v>-49.649000000000001</v>
      </c>
      <c r="G12" s="100">
        <v>0</v>
      </c>
      <c r="H12" s="100">
        <v>-140.20699999999999</v>
      </c>
      <c r="I12" s="100">
        <v>-1.569</v>
      </c>
      <c r="J12" s="100">
        <v>658.74300000000005</v>
      </c>
      <c r="K12" s="100">
        <v>0</v>
      </c>
      <c r="L12" s="133">
        <f>SUM(D12:K12)</f>
        <v>4.6210000000000946</v>
      </c>
      <c r="M12" s="8"/>
    </row>
    <row r="13" spans="1:19" x14ac:dyDescent="0.2">
      <c r="B13" s="55" t="s">
        <v>75</v>
      </c>
      <c r="C13" s="73" t="s">
        <v>76</v>
      </c>
      <c r="D13" s="100"/>
      <c r="E13" s="100"/>
      <c r="F13" s="100">
        <v>-31736.460999999999</v>
      </c>
      <c r="G13" s="100"/>
      <c r="H13" s="100"/>
      <c r="I13" s="100"/>
      <c r="J13" s="100"/>
      <c r="K13" s="100"/>
      <c r="L13" s="133">
        <f>SUM(D13:K13)</f>
        <v>-31736.460999999999</v>
      </c>
      <c r="M13" s="8"/>
    </row>
    <row r="14" spans="1:19" ht="15" x14ac:dyDescent="0.25">
      <c r="B14" s="52"/>
      <c r="C14" s="67" t="s">
        <v>77</v>
      </c>
      <c r="D14" s="71">
        <f t="shared" ref="D14:L14" si="1">SUM(D10:D13)</f>
        <v>-9817.1540000000023</v>
      </c>
      <c r="E14" s="69">
        <f t="shared" si="1"/>
        <v>-6729.8249999999998</v>
      </c>
      <c r="F14" s="69">
        <f t="shared" si="1"/>
        <v>-34859.324000000001</v>
      </c>
      <c r="G14" s="69">
        <f t="shared" si="1"/>
        <v>-10775.148999999999</v>
      </c>
      <c r="H14" s="69">
        <f t="shared" si="1"/>
        <v>-1400.1819999999998</v>
      </c>
      <c r="I14" s="69">
        <f t="shared" si="1"/>
        <v>-36.038000000000004</v>
      </c>
      <c r="J14" s="69">
        <f t="shared" si="1"/>
        <v>2396.3020000000001</v>
      </c>
      <c r="K14" s="69">
        <f t="shared" si="1"/>
        <v>11581.038888888888</v>
      </c>
      <c r="L14" s="70">
        <f t="shared" si="1"/>
        <v>-49640.331111111111</v>
      </c>
      <c r="M14" s="8"/>
    </row>
    <row r="15" spans="1:19" x14ac:dyDescent="0.2">
      <c r="B15" s="52"/>
      <c r="C15" s="131" t="s">
        <v>78</v>
      </c>
      <c r="D15" s="11"/>
      <c r="E15" s="11"/>
      <c r="F15" s="11"/>
      <c r="G15" s="11"/>
      <c r="H15" s="11"/>
      <c r="I15" s="11"/>
      <c r="J15" s="11"/>
      <c r="K15" s="11"/>
      <c r="L15" s="132"/>
      <c r="M15" s="8"/>
    </row>
    <row r="16" spans="1:19" ht="15" x14ac:dyDescent="0.25">
      <c r="A16" s="8"/>
      <c r="B16" s="55" t="s">
        <v>79</v>
      </c>
      <c r="C16" s="74" t="s">
        <v>80</v>
      </c>
      <c r="D16" s="134">
        <v>356.55500000000001</v>
      </c>
      <c r="E16" s="60">
        <v>5159.7929999999997</v>
      </c>
      <c r="F16" s="134">
        <v>2289.2930000000001</v>
      </c>
      <c r="G16" s="135">
        <v>0</v>
      </c>
      <c r="H16" s="134">
        <v>1293.9269999999999</v>
      </c>
      <c r="I16" s="134">
        <v>0</v>
      </c>
      <c r="J16" s="134">
        <v>865.48500000000001</v>
      </c>
      <c r="K16" s="134">
        <v>2871.7420000000002</v>
      </c>
      <c r="L16" s="136">
        <f t="shared" ref="L16:L23" si="2">SUM(D16:K16)</f>
        <v>12836.795</v>
      </c>
      <c r="M16" s="8"/>
    </row>
    <row r="17" spans="1:13" x14ac:dyDescent="0.2">
      <c r="A17" s="8"/>
      <c r="B17" s="55" t="s">
        <v>81</v>
      </c>
      <c r="C17" s="75" t="s">
        <v>82</v>
      </c>
      <c r="D17" s="134">
        <v>56.924999999999997</v>
      </c>
      <c r="E17" s="134">
        <v>1751.73</v>
      </c>
      <c r="F17" s="134">
        <v>854.81</v>
      </c>
      <c r="G17" s="135">
        <v>0</v>
      </c>
      <c r="H17" s="134">
        <v>67.406000000000006</v>
      </c>
      <c r="I17" s="134">
        <v>1.2170000000000001</v>
      </c>
      <c r="J17" s="134">
        <v>254.64599999999999</v>
      </c>
      <c r="K17" s="134">
        <v>2527.3910000000001</v>
      </c>
      <c r="L17" s="136">
        <f t="shared" si="2"/>
        <v>5514.125</v>
      </c>
      <c r="M17" s="8"/>
    </row>
    <row r="18" spans="1:13" x14ac:dyDescent="0.2">
      <c r="A18" s="8"/>
      <c r="B18" s="55" t="s">
        <v>83</v>
      </c>
      <c r="C18" s="75" t="s">
        <v>84</v>
      </c>
      <c r="D18" s="134">
        <v>1896.9860000000001</v>
      </c>
      <c r="E18" s="134">
        <v>4437.1610000000001</v>
      </c>
      <c r="F18" s="134">
        <v>2016.1110000000001</v>
      </c>
      <c r="G18" s="135">
        <v>0</v>
      </c>
      <c r="H18" s="134">
        <v>721.67100000000005</v>
      </c>
      <c r="I18" s="134">
        <v>117.19199999999999</v>
      </c>
      <c r="J18" s="134">
        <v>633.58299999999997</v>
      </c>
      <c r="K18" s="134">
        <v>4088.444</v>
      </c>
      <c r="L18" s="136">
        <f t="shared" si="2"/>
        <v>13911.147999999999</v>
      </c>
      <c r="M18" s="8"/>
    </row>
    <row r="19" spans="1:13" x14ac:dyDescent="0.2">
      <c r="A19" s="8"/>
      <c r="B19" s="55" t="s">
        <v>85</v>
      </c>
      <c r="C19" s="75" t="s">
        <v>86</v>
      </c>
      <c r="D19" s="134">
        <v>44.1</v>
      </c>
      <c r="E19" s="134">
        <v>201.20599999999999</v>
      </c>
      <c r="F19" s="134">
        <v>797.37199999999996</v>
      </c>
      <c r="G19" s="135">
        <v>0</v>
      </c>
      <c r="H19" s="134">
        <v>63.085999999999999</v>
      </c>
      <c r="I19" s="134">
        <v>1E-3</v>
      </c>
      <c r="J19" s="134">
        <v>15.574</v>
      </c>
      <c r="K19" s="134">
        <v>19.386000000000003</v>
      </c>
      <c r="L19" s="136">
        <f t="shared" si="2"/>
        <v>1140.7249999999999</v>
      </c>
      <c r="M19" s="8"/>
    </row>
    <row r="20" spans="1:13" ht="15" x14ac:dyDescent="0.25">
      <c r="A20" s="8"/>
      <c r="B20" s="55" t="s">
        <v>87</v>
      </c>
      <c r="C20" s="75" t="s">
        <v>88</v>
      </c>
      <c r="D20" s="134">
        <v>0.55600000000000005</v>
      </c>
      <c r="E20" s="134">
        <v>21.248999999999999</v>
      </c>
      <c r="F20" s="60">
        <v>14851.249</v>
      </c>
      <c r="G20" s="135">
        <v>0</v>
      </c>
      <c r="H20" s="134">
        <v>130.685</v>
      </c>
      <c r="I20" s="134">
        <v>0</v>
      </c>
      <c r="J20" s="134">
        <v>0</v>
      </c>
      <c r="K20" s="134">
        <v>265.97199999999998</v>
      </c>
      <c r="L20" s="136">
        <f t="shared" si="2"/>
        <v>15269.710999999999</v>
      </c>
      <c r="M20" s="8"/>
    </row>
    <row r="21" spans="1:13" x14ac:dyDescent="0.2">
      <c r="A21" s="8"/>
      <c r="B21" s="55" t="s">
        <v>89</v>
      </c>
      <c r="C21" s="76" t="s">
        <v>90</v>
      </c>
      <c r="D21" s="59">
        <f>IF((SUM(D16:D20,D22:D23)-SUM(D10:D12))&gt;D8,0,(D8-SUM(D16:D20,D22:D23)+SUM(D10:D12)))</f>
        <v>1189.2309999999979</v>
      </c>
      <c r="E21" s="59">
        <f>IF((SUM(E16:E20,E22:E23)-SUM(E10:E12))&gt;E8,0,(E8-SUM(E16:E20,E22:E23)+SUM(E10:E12)))</f>
        <v>0</v>
      </c>
      <c r="F21" s="59">
        <v>392.53200000000402</v>
      </c>
      <c r="G21" s="59">
        <f>IF((SUM(G16:G20,G22:G23)-SUM(G10:G12))&gt;G8,0,(G8-SUM(G16:G20,G22:G23)+SUM(G10:G12)))</f>
        <v>0</v>
      </c>
      <c r="H21" s="59">
        <f>IF((SUM(H16:H20,H22:H23)-SUM(H10:H12))&gt;H8,0,(H8-SUM(H16:H20,H22:H23)+SUM(H10:H12)))</f>
        <v>1390.2580000000007</v>
      </c>
      <c r="I21" s="59">
        <f>IF((SUM(I16:I20,I22:I23)-SUM(I10:I12))&gt;I8,0,(I8-SUM(I16:I20,I22:I23)+SUM(I10:I12)))</f>
        <v>0</v>
      </c>
      <c r="J21" s="59">
        <f>IF((SUM(J16:J20,J22:J23)-SUM(J10:J12))&gt;J8,0,(J8-SUM(J16:J20,J22:J23)+SUM(J10:J12)))</f>
        <v>627.03800000000001</v>
      </c>
      <c r="K21" s="59">
        <v>650</v>
      </c>
      <c r="L21" s="137">
        <f t="shared" si="2"/>
        <v>4249.0590000000029</v>
      </c>
      <c r="M21" s="8"/>
    </row>
    <row r="22" spans="1:13" x14ac:dyDescent="0.2">
      <c r="A22" s="8"/>
      <c r="B22" s="55" t="s">
        <v>109</v>
      </c>
      <c r="C22" s="75" t="s">
        <v>91</v>
      </c>
      <c r="D22" s="134">
        <v>52.453000000000003</v>
      </c>
      <c r="E22" s="134">
        <v>633.82299999999998</v>
      </c>
      <c r="F22" s="134">
        <v>4072.5079999999998</v>
      </c>
      <c r="G22" s="135"/>
      <c r="H22" s="134">
        <v>0</v>
      </c>
      <c r="I22" s="134">
        <v>0</v>
      </c>
      <c r="J22" s="134">
        <v>0</v>
      </c>
      <c r="K22" s="134">
        <v>0</v>
      </c>
      <c r="L22" s="136">
        <f t="shared" si="2"/>
        <v>4758.7839999999997</v>
      </c>
      <c r="M22" s="8"/>
    </row>
    <row r="23" spans="1:13" x14ac:dyDescent="0.2">
      <c r="A23" s="8"/>
      <c r="B23" s="55" t="s">
        <v>110</v>
      </c>
      <c r="C23" s="75" t="s">
        <v>92</v>
      </c>
      <c r="D23" s="134">
        <v>0</v>
      </c>
      <c r="E23" s="134">
        <v>0</v>
      </c>
      <c r="F23" s="134">
        <v>2111.0920000000001</v>
      </c>
      <c r="G23" s="135"/>
      <c r="H23" s="134">
        <v>0</v>
      </c>
      <c r="I23" s="134">
        <v>0</v>
      </c>
      <c r="J23" s="134">
        <v>0</v>
      </c>
      <c r="K23" s="134">
        <v>0</v>
      </c>
      <c r="L23" s="136">
        <f t="shared" si="2"/>
        <v>2111.0920000000001</v>
      </c>
      <c r="M23" s="8"/>
    </row>
    <row r="24" spans="1:13" ht="15" x14ac:dyDescent="0.25">
      <c r="A24" s="8"/>
      <c r="B24" s="124" t="s">
        <v>112</v>
      </c>
      <c r="C24" s="67" t="s">
        <v>178</v>
      </c>
      <c r="D24" s="65">
        <f t="shared" ref="D24:L24" si="3">SUM(D16:D23)</f>
        <v>3596.8059999999982</v>
      </c>
      <c r="E24" s="65">
        <f t="shared" si="3"/>
        <v>12204.962</v>
      </c>
      <c r="F24" s="65">
        <f t="shared" si="3"/>
        <v>27384.967000000001</v>
      </c>
      <c r="G24" s="65">
        <f t="shared" si="3"/>
        <v>0</v>
      </c>
      <c r="H24" s="65">
        <f t="shared" si="3"/>
        <v>3667.0330000000004</v>
      </c>
      <c r="I24" s="65">
        <f t="shared" si="3"/>
        <v>118.41</v>
      </c>
      <c r="J24" s="65">
        <f t="shared" si="3"/>
        <v>2396.326</v>
      </c>
      <c r="K24" s="65">
        <f>SUM(K16:K23)</f>
        <v>10422.934999999999</v>
      </c>
      <c r="L24" s="66">
        <f t="shared" si="3"/>
        <v>59791.438999999998</v>
      </c>
      <c r="M24" s="8"/>
    </row>
    <row r="25" spans="1:13" x14ac:dyDescent="0.2">
      <c r="A25" s="8"/>
      <c r="D25" s="12"/>
      <c r="F25" s="12"/>
      <c r="G25" s="12"/>
      <c r="H25" s="12"/>
      <c r="I25" s="12"/>
      <c r="J25" s="12"/>
      <c r="K25" s="12"/>
      <c r="L25" s="12"/>
      <c r="M25" s="8"/>
    </row>
    <row r="26" spans="1:13" x14ac:dyDescent="0.2">
      <c r="A26" s="8"/>
      <c r="D26" s="12"/>
      <c r="F26" s="12"/>
      <c r="G26" s="12"/>
      <c r="H26" s="12"/>
      <c r="I26" s="12"/>
      <c r="J26" s="12"/>
      <c r="K26" s="12"/>
      <c r="L26" s="12"/>
      <c r="M26" s="12"/>
    </row>
    <row r="27" spans="1:13" ht="15" x14ac:dyDescent="0.25">
      <c r="A27" s="8"/>
      <c r="C27" s="60" t="s">
        <v>165</v>
      </c>
      <c r="D27" s="60"/>
      <c r="E27" s="60"/>
      <c r="F27" s="12"/>
      <c r="G27" s="12"/>
      <c r="H27" s="12"/>
      <c r="I27" s="12"/>
      <c r="J27" s="12"/>
      <c r="K27" s="12"/>
      <c r="L27" s="12"/>
      <c r="M27" s="12"/>
    </row>
    <row r="28" spans="1:13" x14ac:dyDescent="0.2">
      <c r="A28" s="8"/>
      <c r="D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A29" s="8"/>
      <c r="D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A30" s="8"/>
      <c r="D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8"/>
      <c r="D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s="8"/>
      <c r="D32" s="12"/>
      <c r="F32" s="12"/>
      <c r="G32" s="12"/>
      <c r="H32" s="12"/>
      <c r="I32" s="12"/>
      <c r="J32" s="12"/>
      <c r="K32" s="12"/>
      <c r="L32" s="12"/>
      <c r="M32" s="12"/>
    </row>
    <row r="33" spans="1:14" x14ac:dyDescent="0.2">
      <c r="A33" s="8"/>
      <c r="D33" s="12"/>
      <c r="F33" s="12"/>
      <c r="G33" s="12"/>
      <c r="H33" s="12"/>
      <c r="I33" s="12"/>
      <c r="J33" s="12"/>
      <c r="K33" s="12"/>
      <c r="L33" s="12"/>
      <c r="M33" s="12"/>
    </row>
    <row r="34" spans="1:14" x14ac:dyDescent="0.2">
      <c r="A34" s="8"/>
      <c r="D34" s="12"/>
      <c r="F34" s="12"/>
      <c r="G34" s="12"/>
      <c r="H34" s="12"/>
      <c r="I34" s="12"/>
      <c r="J34" s="12"/>
      <c r="K34" s="12"/>
      <c r="L34" s="12"/>
      <c r="M34" s="12"/>
    </row>
    <row r="35" spans="1:14" x14ac:dyDescent="0.2">
      <c r="A35" s="8"/>
      <c r="D35" s="12"/>
      <c r="F35" s="12"/>
      <c r="G35" s="12"/>
      <c r="H35" s="12"/>
      <c r="I35" s="12"/>
      <c r="J35" s="12"/>
      <c r="K35" s="12"/>
      <c r="L35" s="12"/>
      <c r="M35" s="12"/>
    </row>
    <row r="36" spans="1:14" x14ac:dyDescent="0.2">
      <c r="A36" s="8"/>
      <c r="D36" s="32" t="s">
        <v>47</v>
      </c>
      <c r="E36" s="32" t="s">
        <v>48</v>
      </c>
      <c r="F36" s="32" t="s">
        <v>49</v>
      </c>
      <c r="G36" s="37"/>
      <c r="H36" s="37"/>
      <c r="I36" s="37"/>
      <c r="J36" s="37"/>
      <c r="K36" s="37"/>
      <c r="L36" s="37"/>
      <c r="M36" s="37"/>
    </row>
    <row r="37" spans="1:14" x14ac:dyDescent="0.2">
      <c r="A37" s="8"/>
      <c r="C37" s="33" t="s">
        <v>154</v>
      </c>
      <c r="D37" s="34">
        <v>0.75</v>
      </c>
      <c r="E37" s="34">
        <v>0.5</v>
      </c>
      <c r="F37" s="34">
        <v>0.8</v>
      </c>
      <c r="G37" s="38"/>
      <c r="H37" s="38"/>
      <c r="I37" s="38"/>
      <c r="J37" s="38"/>
      <c r="K37" s="38"/>
      <c r="L37" s="38"/>
      <c r="M37" s="38"/>
    </row>
    <row r="38" spans="1:14" x14ac:dyDescent="0.2">
      <c r="A38" s="8"/>
      <c r="C38" s="35" t="s">
        <v>155</v>
      </c>
      <c r="D38" s="36">
        <v>0.25</v>
      </c>
      <c r="E38" s="36">
        <v>0.5</v>
      </c>
      <c r="F38" s="36">
        <v>0.2</v>
      </c>
      <c r="G38" s="38"/>
      <c r="H38" s="38"/>
      <c r="I38" s="38"/>
      <c r="J38" s="38"/>
      <c r="K38" s="38"/>
      <c r="L38" s="38"/>
      <c r="M38" s="38"/>
    </row>
    <row r="39" spans="1:14" x14ac:dyDescent="0.2">
      <c r="A39" s="8"/>
      <c r="C39" s="37"/>
      <c r="D39" s="38"/>
    </row>
    <row r="40" spans="1:14" x14ac:dyDescent="0.2">
      <c r="A40" s="8"/>
      <c r="C40" s="37"/>
      <c r="D40" s="38"/>
    </row>
    <row r="41" spans="1:14" ht="25.5" x14ac:dyDescent="0.2">
      <c r="A41" s="8"/>
      <c r="B41" s="40" t="s">
        <v>130</v>
      </c>
      <c r="C41" s="85" t="s">
        <v>157</v>
      </c>
      <c r="D41" s="84" t="s">
        <v>55</v>
      </c>
      <c r="E41" s="138" t="s">
        <v>56</v>
      </c>
      <c r="F41" s="138" t="s">
        <v>159</v>
      </c>
      <c r="G41" s="138" t="s">
        <v>57</v>
      </c>
      <c r="H41" s="138" t="s">
        <v>58</v>
      </c>
      <c r="I41" s="138" t="s">
        <v>59</v>
      </c>
      <c r="J41" s="138" t="s">
        <v>60</v>
      </c>
      <c r="K41" s="139" t="s">
        <v>111</v>
      </c>
      <c r="L41" s="41"/>
    </row>
    <row r="42" spans="1:14" x14ac:dyDescent="0.2">
      <c r="A42" s="8"/>
      <c r="B42" s="55" t="s">
        <v>79</v>
      </c>
      <c r="C42" s="74" t="s">
        <v>131</v>
      </c>
      <c r="D42" s="77"/>
      <c r="E42" s="79"/>
      <c r="F42" s="79"/>
      <c r="G42" s="79"/>
      <c r="H42" s="79"/>
      <c r="I42" s="79"/>
      <c r="J42" s="79"/>
      <c r="K42" s="80"/>
      <c r="L42" s="10"/>
      <c r="N42" s="74" t="s">
        <v>134</v>
      </c>
    </row>
    <row r="43" spans="1:14" x14ac:dyDescent="0.2">
      <c r="A43" s="8"/>
      <c r="B43" s="55" t="s">
        <v>79</v>
      </c>
      <c r="C43" s="75" t="s">
        <v>132</v>
      </c>
      <c r="D43" s="78"/>
      <c r="E43" s="56"/>
      <c r="F43" s="56"/>
      <c r="G43" s="56"/>
      <c r="H43" s="56"/>
      <c r="I43" s="56"/>
      <c r="J43" s="56"/>
      <c r="K43" s="81"/>
      <c r="L43" s="10"/>
      <c r="N43" s="75" t="s">
        <v>135</v>
      </c>
    </row>
    <row r="44" spans="1:14" ht="15" x14ac:dyDescent="0.25">
      <c r="A44" s="8"/>
      <c r="B44" s="55" t="s">
        <v>79</v>
      </c>
      <c r="C44" s="75" t="s">
        <v>133</v>
      </c>
      <c r="D44" s="78"/>
      <c r="E44" s="60">
        <v>1</v>
      </c>
      <c r="F44" s="56"/>
      <c r="G44" s="56"/>
      <c r="H44" s="56"/>
      <c r="I44" s="56"/>
      <c r="J44" s="56"/>
      <c r="K44" s="81"/>
      <c r="L44" s="10"/>
      <c r="N44" s="75" t="s">
        <v>90</v>
      </c>
    </row>
    <row r="45" spans="1:14" x14ac:dyDescent="0.2">
      <c r="A45" s="8"/>
      <c r="B45" s="55"/>
      <c r="C45" s="75"/>
      <c r="D45" s="78"/>
      <c r="E45" s="56"/>
      <c r="F45" s="56"/>
      <c r="G45" s="56"/>
      <c r="H45" s="56"/>
      <c r="I45" s="56"/>
      <c r="J45" s="56"/>
      <c r="K45" s="81"/>
      <c r="L45" s="10"/>
      <c r="N45" s="75"/>
    </row>
    <row r="46" spans="1:14" x14ac:dyDescent="0.2">
      <c r="A46" s="8"/>
      <c r="B46" s="55" t="s">
        <v>81</v>
      </c>
      <c r="C46" s="75" t="s">
        <v>136</v>
      </c>
      <c r="D46" s="78"/>
      <c r="E46" s="56"/>
      <c r="F46" s="56"/>
      <c r="G46" s="56"/>
      <c r="H46" s="56"/>
      <c r="I46" s="56"/>
      <c r="J46" s="56"/>
      <c r="K46" s="81"/>
      <c r="L46" s="10"/>
      <c r="N46" s="75" t="s">
        <v>138</v>
      </c>
    </row>
    <row r="47" spans="1:14" x14ac:dyDescent="0.2">
      <c r="A47" s="8"/>
      <c r="B47" s="55" t="s">
        <v>81</v>
      </c>
      <c r="C47" s="75" t="s">
        <v>137</v>
      </c>
      <c r="D47" s="78"/>
      <c r="E47" s="56"/>
      <c r="F47" s="56"/>
      <c r="G47" s="56"/>
      <c r="H47" s="56"/>
      <c r="I47" s="56"/>
      <c r="J47" s="56"/>
      <c r="K47" s="81"/>
      <c r="L47" s="10"/>
      <c r="N47" s="75" t="s">
        <v>139</v>
      </c>
    </row>
    <row r="48" spans="1:14" x14ac:dyDescent="0.2">
      <c r="A48" s="8"/>
      <c r="B48" s="55"/>
      <c r="C48" s="75"/>
      <c r="D48" s="78"/>
      <c r="E48" s="56"/>
      <c r="F48" s="56"/>
      <c r="G48" s="56"/>
      <c r="H48" s="56"/>
      <c r="I48" s="56"/>
      <c r="J48" s="56"/>
      <c r="K48" s="81"/>
      <c r="L48" s="10"/>
      <c r="N48" s="75"/>
    </row>
    <row r="49" spans="1:14" ht="15" x14ac:dyDescent="0.25">
      <c r="A49" s="8"/>
      <c r="B49" s="55" t="s">
        <v>87</v>
      </c>
      <c r="C49" s="76" t="s">
        <v>136</v>
      </c>
      <c r="D49" s="82"/>
      <c r="E49" s="58"/>
      <c r="F49" s="61">
        <v>1</v>
      </c>
      <c r="G49" s="58"/>
      <c r="H49" s="58"/>
      <c r="I49" s="58"/>
      <c r="J49" s="58"/>
      <c r="K49" s="83"/>
      <c r="L49" s="10"/>
      <c r="N49" s="76" t="s">
        <v>138</v>
      </c>
    </row>
    <row r="50" spans="1:14" x14ac:dyDescent="0.2">
      <c r="A50" s="8"/>
    </row>
    <row r="51" spans="1:14" x14ac:dyDescent="0.2">
      <c r="A51" s="8"/>
    </row>
    <row r="52" spans="1:14" x14ac:dyDescent="0.2">
      <c r="A52" s="8"/>
      <c r="C52" s="89" t="s">
        <v>144</v>
      </c>
      <c r="D52" s="91" t="s">
        <v>145</v>
      </c>
      <c r="E52" s="90" t="s">
        <v>146</v>
      </c>
    </row>
    <row r="53" spans="1:14" x14ac:dyDescent="0.2">
      <c r="A53" s="8"/>
      <c r="B53" s="31" t="s">
        <v>158</v>
      </c>
      <c r="C53" s="84" t="s">
        <v>147</v>
      </c>
      <c r="D53" s="84" t="s">
        <v>148</v>
      </c>
      <c r="E53" s="87" t="s">
        <v>146</v>
      </c>
    </row>
    <row r="54" spans="1:14" x14ac:dyDescent="0.2">
      <c r="A54" s="8"/>
      <c r="B54" s="55" t="s">
        <v>79</v>
      </c>
      <c r="C54" s="86">
        <v>1</v>
      </c>
      <c r="D54" s="86"/>
      <c r="E54" s="86"/>
    </row>
    <row r="55" spans="1:14" x14ac:dyDescent="0.2">
      <c r="A55" s="8"/>
      <c r="B55" s="55" t="s">
        <v>87</v>
      </c>
      <c r="C55" s="86">
        <v>1</v>
      </c>
      <c r="D55" s="86"/>
      <c r="E55" s="86"/>
    </row>
    <row r="56" spans="1:14" x14ac:dyDescent="0.2">
      <c r="A56" s="8"/>
      <c r="B56" s="55" t="s">
        <v>89</v>
      </c>
      <c r="C56" s="86">
        <v>1</v>
      </c>
      <c r="D56" s="86"/>
      <c r="E56" s="86"/>
    </row>
    <row r="57" spans="1:14" x14ac:dyDescent="0.2">
      <c r="A57" s="8"/>
      <c r="B57" s="55" t="s">
        <v>54</v>
      </c>
      <c r="C57" s="88">
        <v>1</v>
      </c>
      <c r="D57" s="88"/>
      <c r="E57" s="88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48" sqref="C48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6" width="7.5703125" customWidth="1"/>
    <col min="7" max="7" width="12.140625" bestFit="1" customWidth="1"/>
    <col min="8" max="9" width="8.28515625" customWidth="1"/>
    <col min="10" max="10" width="7.28515625" customWidth="1"/>
    <col min="11" max="11" width="11.42578125" bestFit="1" customWidth="1"/>
  </cols>
  <sheetData>
    <row r="1" spans="2:10" ht="15" x14ac:dyDescent="0.25">
      <c r="B1" s="15" t="s">
        <v>94</v>
      </c>
      <c r="C1" s="15" t="s">
        <v>95</v>
      </c>
      <c r="D1" s="15" t="s">
        <v>96</v>
      </c>
      <c r="E1" s="15" t="s">
        <v>98</v>
      </c>
      <c r="G1" s="15" t="s">
        <v>99</v>
      </c>
    </row>
    <row r="2" spans="2:10" ht="15.75" x14ac:dyDescent="0.25">
      <c r="B2" s="17" t="s">
        <v>105</v>
      </c>
      <c r="C2" s="17"/>
      <c r="D2" s="17"/>
      <c r="E2" s="17" t="str">
        <f>EnergyBalance!R2</f>
        <v>PJ</v>
      </c>
      <c r="G2" s="17" t="str">
        <f>EnergyBalance!Q2</f>
        <v>M€2005</v>
      </c>
    </row>
    <row r="5" spans="2:10" x14ac:dyDescent="0.2">
      <c r="C5" s="4" t="s">
        <v>13</v>
      </c>
      <c r="D5" s="4"/>
      <c r="E5" s="1"/>
      <c r="F5" s="49"/>
      <c r="G5" s="49"/>
      <c r="H5" s="49"/>
      <c r="I5" s="49"/>
      <c r="J5" s="49"/>
    </row>
    <row r="6" spans="2:10" x14ac:dyDescent="0.2">
      <c r="B6" s="3" t="s">
        <v>102</v>
      </c>
      <c r="C6" s="3" t="s">
        <v>0</v>
      </c>
      <c r="D6" s="3" t="s">
        <v>162</v>
      </c>
      <c r="E6" s="105">
        <v>2005</v>
      </c>
      <c r="F6" s="147"/>
      <c r="G6" s="147"/>
      <c r="H6" s="147"/>
      <c r="I6" s="147"/>
      <c r="J6" s="49"/>
    </row>
    <row r="7" spans="2:10" ht="22.5" x14ac:dyDescent="0.2">
      <c r="B7" s="22" t="s">
        <v>103</v>
      </c>
      <c r="C7" s="22" t="s">
        <v>104</v>
      </c>
      <c r="D7" s="22" t="s">
        <v>163</v>
      </c>
      <c r="E7" s="106" t="s">
        <v>36</v>
      </c>
      <c r="F7" s="148"/>
      <c r="G7" s="148"/>
      <c r="H7" s="148"/>
      <c r="I7" s="148"/>
      <c r="J7" s="49"/>
    </row>
    <row r="8" spans="2:10" ht="13.5" thickBot="1" x14ac:dyDescent="0.25">
      <c r="B8" s="21" t="s">
        <v>114</v>
      </c>
      <c r="C8" s="21"/>
      <c r="D8" s="21"/>
      <c r="E8" s="19" t="str">
        <f>E2</f>
        <v>PJ</v>
      </c>
      <c r="F8" s="148"/>
      <c r="G8" s="148"/>
      <c r="H8" s="148"/>
      <c r="I8" s="148"/>
      <c r="J8" s="49"/>
    </row>
    <row r="9" spans="2:10" x14ac:dyDescent="0.2">
      <c r="B9" s="50" t="s">
        <v>35</v>
      </c>
      <c r="C9" s="50" t="str">
        <f>DemTechs_TPS!N5</f>
        <v>TPSCOA</v>
      </c>
      <c r="D9" s="50" t="s">
        <v>97</v>
      </c>
      <c r="E9" s="111">
        <f>EnergyBalance!D24-EnergyBalance!D14</f>
        <v>13413.960000000001</v>
      </c>
      <c r="F9" s="49"/>
      <c r="G9" s="49"/>
      <c r="H9" s="49"/>
      <c r="I9" s="49"/>
      <c r="J9" s="49"/>
    </row>
    <row r="10" spans="2:10" x14ac:dyDescent="0.2">
      <c r="B10" s="10" t="s">
        <v>35</v>
      </c>
      <c r="C10" s="10" t="str">
        <f>DemTechs_RSD!$P$5</f>
        <v>DROT</v>
      </c>
      <c r="D10" s="37" t="s">
        <v>97</v>
      </c>
      <c r="E10" s="93">
        <f>EnergyBalance!E16</f>
        <v>5159.7929999999997</v>
      </c>
      <c r="F10" s="49"/>
      <c r="G10" s="49"/>
      <c r="H10" s="49"/>
      <c r="I10" s="49"/>
      <c r="J10" s="49"/>
    </row>
    <row r="11" spans="2:10" x14ac:dyDescent="0.2">
      <c r="B11" s="10" t="s">
        <v>35</v>
      </c>
      <c r="C11" s="10" t="str">
        <f>DemTechs_TRA!$P$5</f>
        <v>DTD1</v>
      </c>
      <c r="D11" s="37" t="s">
        <v>97</v>
      </c>
      <c r="E11" s="93">
        <f>EnergyBalance!F20</f>
        <v>14851.249</v>
      </c>
      <c r="F11" s="149"/>
      <c r="G11" s="149"/>
      <c r="H11" s="149"/>
      <c r="I11" s="149"/>
      <c r="J11" s="49"/>
    </row>
    <row r="12" spans="2:10" x14ac:dyDescent="0.2">
      <c r="E12" s="47"/>
      <c r="F12" s="49"/>
      <c r="G12" s="49"/>
      <c r="H12" s="49"/>
      <c r="I12" s="49"/>
      <c r="J12" s="49"/>
    </row>
    <row r="13" spans="2:10" x14ac:dyDescent="0.2">
      <c r="E13" s="12"/>
      <c r="F13" s="49"/>
      <c r="G13" s="49"/>
      <c r="H13" s="49"/>
      <c r="I13" s="49"/>
      <c r="J13" s="49"/>
    </row>
    <row r="15" spans="2:10" x14ac:dyDescent="0.2">
      <c r="E15" s="12"/>
    </row>
    <row r="21" spans="2:3" x14ac:dyDescent="0.2">
      <c r="B21" s="57"/>
      <c r="C21" s="1" t="s">
        <v>166</v>
      </c>
    </row>
    <row r="22" spans="2:3" x14ac:dyDescent="0.2">
      <c r="B22" s="94"/>
      <c r="C22" s="1" t="s"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zoomScale="80" zoomScaleNormal="80" workbookViewId="0">
      <selection activeCell="Y42" sqref="Y42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5.42578125" customWidth="1"/>
  </cols>
  <sheetData>
    <row r="2" spans="2:15" ht="18" x14ac:dyDescent="0.25">
      <c r="B2" s="101" t="s">
        <v>169</v>
      </c>
      <c r="K2" s="101"/>
      <c r="L2" s="101" t="s">
        <v>182</v>
      </c>
    </row>
    <row r="3" spans="2:15" ht="18" x14ac:dyDescent="0.25">
      <c r="K3" s="101"/>
      <c r="L3" s="101" t="s">
        <v>183</v>
      </c>
    </row>
    <row r="4" spans="2:15" x14ac:dyDescent="0.2">
      <c r="B4" s="40" t="s">
        <v>180</v>
      </c>
    </row>
    <row r="14" spans="2:15" ht="18" x14ac:dyDescent="0.25">
      <c r="B14" s="101" t="s">
        <v>168</v>
      </c>
    </row>
    <row r="16" spans="2:15" x14ac:dyDescent="0.2">
      <c r="D16" s="102" t="s">
        <v>170</v>
      </c>
      <c r="E16" s="102"/>
      <c r="F16" s="102"/>
      <c r="G16" s="102"/>
      <c r="H16" s="102"/>
      <c r="I16" s="102"/>
      <c r="L16" s="102" t="s">
        <v>171</v>
      </c>
      <c r="M16" s="102"/>
      <c r="N16" s="102"/>
      <c r="O16" s="102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zoomScaleNormal="100" workbookViewId="0">
      <selection activeCell="H39" sqref="H39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140625" customWidth="1"/>
    <col min="4" max="4" width="13.140625" customWidth="1"/>
    <col min="5" max="5" width="7.5703125" bestFit="1" customWidth="1"/>
    <col min="6" max="6" width="8.28515625" bestFit="1" customWidth="1"/>
    <col min="7" max="7" width="13.140625" customWidth="1"/>
    <col min="8" max="8" width="8.42578125" bestFit="1" customWidth="1"/>
    <col min="9" max="9" width="13.7109375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140625" customWidth="1"/>
    <col min="15" max="15" width="6.140625" bestFit="1" customWidth="1"/>
    <col min="16" max="16" width="11.285156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9" t="s">
        <v>94</v>
      </c>
      <c r="C1" s="39" t="s">
        <v>95</v>
      </c>
      <c r="D1" s="39" t="s">
        <v>96</v>
      </c>
      <c r="E1" s="39" t="s">
        <v>98</v>
      </c>
      <c r="F1" s="26"/>
      <c r="G1" s="39" t="s">
        <v>99</v>
      </c>
    </row>
    <row r="2" spans="1:20" ht="15.75" x14ac:dyDescent="0.25">
      <c r="B2" s="17"/>
      <c r="C2" s="17" t="str">
        <f>EnergyBalance!D2</f>
        <v>COA</v>
      </c>
      <c r="D2" s="17" t="str">
        <f>EnergyBalance!D3</f>
        <v>Solid Fuels</v>
      </c>
      <c r="E2" s="17" t="str">
        <f>EnergyBalance!R2</f>
        <v>PJ</v>
      </c>
      <c r="G2" s="17" t="str">
        <f>EnergyBalance!Q2</f>
        <v>M€2005</v>
      </c>
      <c r="K2" s="160" t="s">
        <v>14</v>
      </c>
      <c r="L2" s="160"/>
      <c r="M2" s="161"/>
      <c r="N2" s="161"/>
      <c r="O2" s="161"/>
      <c r="P2" s="161"/>
      <c r="Q2" s="161"/>
      <c r="R2" s="161"/>
      <c r="S2" s="161"/>
    </row>
    <row r="3" spans="1:20" x14ac:dyDescent="0.2">
      <c r="K3" s="162" t="s">
        <v>7</v>
      </c>
      <c r="L3" s="163" t="s">
        <v>30</v>
      </c>
      <c r="M3" s="162" t="s">
        <v>0</v>
      </c>
      <c r="N3" s="162" t="s">
        <v>3</v>
      </c>
      <c r="O3" s="162" t="s">
        <v>4</v>
      </c>
      <c r="P3" s="162" t="s">
        <v>8</v>
      </c>
      <c r="Q3" s="162" t="s">
        <v>9</v>
      </c>
      <c r="R3" s="162" t="s">
        <v>10</v>
      </c>
      <c r="S3" s="162" t="s">
        <v>12</v>
      </c>
    </row>
    <row r="4" spans="1:20" ht="23.25" thickBot="1" x14ac:dyDescent="0.25">
      <c r="C4" s="1"/>
      <c r="K4" s="164" t="s">
        <v>40</v>
      </c>
      <c r="L4" s="164" t="s">
        <v>31</v>
      </c>
      <c r="M4" s="164" t="s">
        <v>26</v>
      </c>
      <c r="N4" s="164" t="s">
        <v>27</v>
      </c>
      <c r="O4" s="164" t="s">
        <v>4</v>
      </c>
      <c r="P4" s="164" t="s">
        <v>43</v>
      </c>
      <c r="Q4" s="164" t="s">
        <v>44</v>
      </c>
      <c r="R4" s="164" t="s">
        <v>28</v>
      </c>
      <c r="S4" s="164" t="s">
        <v>29</v>
      </c>
    </row>
    <row r="5" spans="1:20" x14ac:dyDescent="0.2">
      <c r="K5" s="165" t="s">
        <v>93</v>
      </c>
      <c r="L5" s="166"/>
      <c r="M5" s="165" t="str">
        <f>C2</f>
        <v>COA</v>
      </c>
      <c r="N5" s="165" t="str">
        <f>D2</f>
        <v>Solid Fuels</v>
      </c>
      <c r="O5" s="165" t="str">
        <f>$E$2</f>
        <v>PJ</v>
      </c>
      <c r="P5" s="165"/>
      <c r="Q5" s="165"/>
      <c r="R5" s="165"/>
      <c r="S5" s="165"/>
    </row>
    <row r="6" spans="1:20" x14ac:dyDescent="0.2">
      <c r="K6" s="14"/>
      <c r="L6" s="8"/>
      <c r="M6" s="14"/>
      <c r="N6" s="14"/>
      <c r="O6" s="14"/>
      <c r="P6" s="14"/>
      <c r="Q6" s="14"/>
      <c r="R6" s="14"/>
      <c r="S6" s="14"/>
    </row>
    <row r="7" spans="1:20" x14ac:dyDescent="0.2">
      <c r="F7" s="6" t="s">
        <v>13</v>
      </c>
      <c r="H7" s="6"/>
      <c r="K7" s="160" t="s">
        <v>15</v>
      </c>
      <c r="L7" s="160"/>
      <c r="M7" s="167"/>
      <c r="N7" s="167"/>
      <c r="O7" s="167"/>
      <c r="P7" s="167"/>
      <c r="Q7" s="167"/>
      <c r="R7" s="167"/>
      <c r="S7" s="167"/>
    </row>
    <row r="8" spans="1:20" x14ac:dyDescent="0.2">
      <c r="B8" s="2" t="s">
        <v>1</v>
      </c>
      <c r="C8" s="25" t="s">
        <v>5</v>
      </c>
      <c r="D8" s="2" t="s">
        <v>6</v>
      </c>
      <c r="E8" s="2" t="s">
        <v>156</v>
      </c>
      <c r="F8" s="2" t="s">
        <v>8</v>
      </c>
      <c r="G8" s="110" t="s">
        <v>37</v>
      </c>
      <c r="H8" s="110" t="s">
        <v>38</v>
      </c>
      <c r="I8" s="110" t="s">
        <v>100</v>
      </c>
      <c r="K8" s="162" t="s">
        <v>11</v>
      </c>
      <c r="L8" s="163" t="s">
        <v>30</v>
      </c>
      <c r="M8" s="162" t="s">
        <v>1</v>
      </c>
      <c r="N8" s="162" t="s">
        <v>2</v>
      </c>
      <c r="O8" s="162" t="s">
        <v>16</v>
      </c>
      <c r="P8" s="162" t="s">
        <v>17</v>
      </c>
      <c r="Q8" s="162" t="s">
        <v>18</v>
      </c>
      <c r="R8" s="162" t="s">
        <v>19</v>
      </c>
      <c r="S8" s="162" t="s">
        <v>20</v>
      </c>
    </row>
    <row r="9" spans="1:20" ht="23.25" thickBot="1" x14ac:dyDescent="0.25">
      <c r="B9" s="21" t="s">
        <v>42</v>
      </c>
      <c r="C9" s="21" t="s">
        <v>32</v>
      </c>
      <c r="D9" s="21" t="s">
        <v>33</v>
      </c>
      <c r="E9" s="141"/>
      <c r="F9" s="141"/>
      <c r="G9" s="141" t="s">
        <v>39</v>
      </c>
      <c r="H9" s="141" t="s">
        <v>117</v>
      </c>
      <c r="I9" s="141" t="s">
        <v>116</v>
      </c>
      <c r="K9" s="164" t="s">
        <v>41</v>
      </c>
      <c r="L9" s="164" t="s">
        <v>31</v>
      </c>
      <c r="M9" s="164" t="s">
        <v>21</v>
      </c>
      <c r="N9" s="164" t="s">
        <v>22</v>
      </c>
      <c r="O9" s="164" t="s">
        <v>23</v>
      </c>
      <c r="P9" s="164" t="s">
        <v>24</v>
      </c>
      <c r="Q9" s="164" t="s">
        <v>46</v>
      </c>
      <c r="R9" s="164" t="s">
        <v>45</v>
      </c>
      <c r="S9" s="164" t="s">
        <v>25</v>
      </c>
    </row>
    <row r="10" spans="1:20" ht="13.5" thickBot="1" x14ac:dyDescent="0.25">
      <c r="B10" s="21" t="s">
        <v>114</v>
      </c>
      <c r="C10" s="19"/>
      <c r="D10" s="19"/>
      <c r="E10" s="19"/>
      <c r="F10" s="19"/>
      <c r="G10" s="19" t="str">
        <f>$E$2</f>
        <v>PJ</v>
      </c>
      <c r="H10" s="19" t="str">
        <f>$G$2&amp;"/"&amp;$E$2</f>
        <v>M€2005/PJ</v>
      </c>
      <c r="I10" s="19" t="str">
        <f>$E$2</f>
        <v>PJ</v>
      </c>
      <c r="K10" s="164" t="s">
        <v>103</v>
      </c>
      <c r="L10" s="168"/>
      <c r="M10" s="168"/>
      <c r="N10" s="168"/>
      <c r="O10" s="168"/>
      <c r="P10" s="168"/>
      <c r="Q10" s="168"/>
      <c r="R10" s="168"/>
      <c r="S10" s="168"/>
    </row>
    <row r="11" spans="1:20" x14ac:dyDescent="0.2">
      <c r="B11" s="14" t="str">
        <f>M11</f>
        <v>MINCOA1</v>
      </c>
      <c r="C11" s="14"/>
      <c r="D11" s="14" t="str">
        <f>$M$5</f>
        <v>COA</v>
      </c>
      <c r="E11" s="14">
        <v>2005</v>
      </c>
      <c r="F11" s="14" t="s">
        <v>175</v>
      </c>
      <c r="G11" s="96">
        <v>80000</v>
      </c>
      <c r="H11" s="98">
        <v>2</v>
      </c>
      <c r="I11" s="92">
        <f>EnergyBalance!$D$5*EnergyBalance!D37</f>
        <v>6073.7685000000001</v>
      </c>
      <c r="J11" s="8"/>
      <c r="K11" s="165" t="str">
        <f>EnergyBalance!$B$5</f>
        <v>MIN</v>
      </c>
      <c r="L11" s="166"/>
      <c r="M11" s="166" t="str">
        <f>$K$11&amp;$C$2&amp;1</f>
        <v>MINCOA1</v>
      </c>
      <c r="N11" s="169" t="str">
        <f>"Domestic Supply of "&amp;$D$2&amp; " Step "&amp;RIGHT(M11,1)</f>
        <v>Domestic Supply of Solid Fuels Step 1</v>
      </c>
      <c r="O11" s="166" t="str">
        <f>$E$2</f>
        <v>PJ</v>
      </c>
      <c r="P11" s="166"/>
      <c r="Q11" s="166"/>
      <c r="R11" s="166"/>
      <c r="S11" s="166"/>
    </row>
    <row r="12" spans="1:20" s="8" customFormat="1" x14ac:dyDescent="0.2">
      <c r="A12"/>
      <c r="B12" s="14"/>
      <c r="C12" s="14"/>
      <c r="D12" s="14"/>
      <c r="E12" s="14">
        <v>2006</v>
      </c>
      <c r="F12" s="14" t="s">
        <v>175</v>
      </c>
      <c r="G12" s="150"/>
      <c r="H12" s="151"/>
      <c r="I12" s="143">
        <f>I11</f>
        <v>6073.7685000000001</v>
      </c>
      <c r="K12" s="166"/>
      <c r="L12" s="166"/>
      <c r="M12" s="166" t="str">
        <f>$K$11&amp;$C$2&amp;2</f>
        <v>MINCOA2</v>
      </c>
      <c r="N12" s="169" t="str">
        <f>"Domestic Supply of "&amp;$D$2&amp; " Step "&amp;RIGHT(M12,1)</f>
        <v>Domestic Supply of Solid Fuels Step 2</v>
      </c>
      <c r="O12" s="166" t="str">
        <f>$E$2</f>
        <v>PJ</v>
      </c>
      <c r="P12" s="166"/>
      <c r="Q12" s="166"/>
      <c r="R12" s="166"/>
      <c r="S12" s="166"/>
    </row>
    <row r="13" spans="1:20" s="8" customFormat="1" x14ac:dyDescent="0.2">
      <c r="B13" s="14" t="str">
        <f>M12</f>
        <v>MINCOA2</v>
      </c>
      <c r="C13" s="14"/>
      <c r="D13" s="14" t="str">
        <f>$M$5</f>
        <v>COA</v>
      </c>
      <c r="E13" s="14">
        <v>2005</v>
      </c>
      <c r="F13" s="14" t="s">
        <v>175</v>
      </c>
      <c r="G13" s="96">
        <v>160000</v>
      </c>
      <c r="H13" s="98">
        <v>2.5</v>
      </c>
      <c r="I13" s="92">
        <f>EnergyBalance!$D$5*EnergyBalance!D38</f>
        <v>2024.5895</v>
      </c>
      <c r="K13" s="166"/>
      <c r="L13" s="166"/>
      <c r="M13" s="166" t="str">
        <f>$K$11&amp;$C$2&amp;3</f>
        <v>MINCOA3</v>
      </c>
      <c r="N13" s="169" t="str">
        <f>"Domestic Supply of "&amp;$D$2&amp; " Step "&amp;RIGHT(M13,1)</f>
        <v>Domestic Supply of Solid Fuels Step 3</v>
      </c>
      <c r="O13" s="166" t="str">
        <f>$E$2</f>
        <v>PJ</v>
      </c>
      <c r="P13" s="166"/>
      <c r="Q13" s="166"/>
      <c r="R13" s="166"/>
      <c r="S13" s="166"/>
    </row>
    <row r="14" spans="1:20" s="8" customFormat="1" x14ac:dyDescent="0.2">
      <c r="B14" s="14"/>
      <c r="C14" s="14"/>
      <c r="D14" s="14"/>
      <c r="E14" s="14">
        <v>2006</v>
      </c>
      <c r="F14" s="14" t="s">
        <v>175</v>
      </c>
      <c r="G14" s="150"/>
      <c r="H14" s="151"/>
      <c r="I14" s="143">
        <f>I13</f>
        <v>2024.5895</v>
      </c>
      <c r="K14" s="166" t="str">
        <f>EnergyBalance!$B$6</f>
        <v>IMP</v>
      </c>
      <c r="L14" s="166"/>
      <c r="M14" s="166" t="str">
        <f>$K$14&amp;$C$2&amp;1</f>
        <v>IMPCOA1</v>
      </c>
      <c r="N14" s="169" t="str">
        <f>"Import of "&amp;$D$2&amp; " Step "&amp;RIGHT(M14,1)</f>
        <v>Import of Solid Fuels Step 1</v>
      </c>
      <c r="O14" s="166" t="str">
        <f>$E$2</f>
        <v>PJ</v>
      </c>
      <c r="P14" s="166"/>
      <c r="Q14" s="166"/>
      <c r="R14" s="166"/>
      <c r="S14" s="166"/>
    </row>
    <row r="15" spans="1:20" x14ac:dyDescent="0.2">
      <c r="A15" s="8"/>
      <c r="B15" s="14" t="str">
        <f>M13</f>
        <v>MINCOA3</v>
      </c>
      <c r="C15" s="14"/>
      <c r="D15" s="14" t="str">
        <f>$M$5</f>
        <v>COA</v>
      </c>
      <c r="E15" s="14"/>
      <c r="F15" s="14"/>
      <c r="G15" s="96">
        <v>320000</v>
      </c>
      <c r="H15" s="98">
        <v>3</v>
      </c>
      <c r="I15" s="8"/>
      <c r="J15" s="8"/>
      <c r="K15" s="166" t="str">
        <f>EnergyBalance!B7</f>
        <v>EXP</v>
      </c>
      <c r="L15" s="166"/>
      <c r="M15" s="166" t="str">
        <f>$K$15&amp;$C$2&amp;1</f>
        <v>EXPCOA1</v>
      </c>
      <c r="N15" s="169" t="str">
        <f>"Export of "&amp;$D$2&amp; " Step "&amp;RIGHT(M15,1)</f>
        <v>Export of Solid Fuels Step 1</v>
      </c>
      <c r="O15" s="166" t="str">
        <f>$E$2</f>
        <v>PJ</v>
      </c>
      <c r="P15" s="166"/>
      <c r="Q15" s="166"/>
      <c r="R15" s="166"/>
      <c r="S15" s="166"/>
      <c r="T15" s="8"/>
    </row>
    <row r="16" spans="1:20" x14ac:dyDescent="0.2">
      <c r="A16" s="8"/>
      <c r="B16" s="14" t="str">
        <f>M14</f>
        <v>IMPCOA1</v>
      </c>
      <c r="C16" s="14"/>
      <c r="D16" s="14" t="str">
        <f>$M$5</f>
        <v>COA</v>
      </c>
      <c r="E16" s="14"/>
      <c r="F16" s="14"/>
      <c r="G16" s="13"/>
      <c r="H16" s="98">
        <v>2.75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20" x14ac:dyDescent="0.2">
      <c r="B17" s="14" t="str">
        <f>M15</f>
        <v>EXPCOA1</v>
      </c>
      <c r="C17" s="14" t="str">
        <f>$M$5</f>
        <v>COA</v>
      </c>
      <c r="D17" s="14"/>
      <c r="E17" s="14">
        <v>2005</v>
      </c>
      <c r="F17" s="14" t="s">
        <v>175</v>
      </c>
      <c r="H17" s="98">
        <v>2.75</v>
      </c>
      <c r="I17" s="93">
        <f>-EnergyBalance!D7</f>
        <v>1147.069</v>
      </c>
      <c r="K17" s="8"/>
      <c r="L17" s="8"/>
      <c r="M17" s="8"/>
      <c r="N17" s="8"/>
      <c r="O17" s="8"/>
      <c r="P17" s="8"/>
      <c r="Q17" s="8"/>
      <c r="R17" s="8"/>
      <c r="S17" s="8"/>
    </row>
    <row r="18" spans="1:20" s="8" customFormat="1" x14ac:dyDescent="0.2">
      <c r="A18"/>
      <c r="B18" s="14"/>
      <c r="C18" s="14"/>
      <c r="E18" s="14">
        <v>2006</v>
      </c>
      <c r="F18" s="14" t="s">
        <v>175</v>
      </c>
      <c r="G18" s="13"/>
      <c r="H18"/>
      <c r="I18" s="142">
        <f>I17</f>
        <v>1147.069</v>
      </c>
      <c r="J18"/>
      <c r="T18"/>
    </row>
    <row r="19" spans="1:20" s="8" customFormat="1" x14ac:dyDescent="0.2">
      <c r="A19"/>
      <c r="E19"/>
      <c r="F19"/>
      <c r="G19"/>
      <c r="H19"/>
      <c r="I19"/>
      <c r="J19"/>
    </row>
    <row r="20" spans="1:20" s="8" customFormat="1" x14ac:dyDescent="0.2">
      <c r="B20"/>
      <c r="C20"/>
      <c r="D20"/>
      <c r="E20"/>
      <c r="F20"/>
      <c r="G20"/>
      <c r="H20"/>
      <c r="I20"/>
    </row>
    <row r="21" spans="1:20" s="8" customFormat="1" x14ac:dyDescent="0.2">
      <c r="B21"/>
      <c r="C21"/>
      <c r="D21"/>
      <c r="E21"/>
      <c r="F21"/>
      <c r="G21"/>
      <c r="H21"/>
      <c r="I21"/>
    </row>
    <row r="22" spans="1:20" x14ac:dyDescent="0.2">
      <c r="A22" s="8"/>
      <c r="B22" s="96"/>
      <c r="C22" s="1" t="s">
        <v>166</v>
      </c>
      <c r="J22" s="8"/>
      <c r="T22" s="8"/>
    </row>
    <row r="23" spans="1:20" x14ac:dyDescent="0.2">
      <c r="A23" s="8"/>
      <c r="B23" s="94"/>
      <c r="C23" s="1" t="s">
        <v>167</v>
      </c>
      <c r="J23" s="8"/>
    </row>
    <row r="24" spans="1:20" x14ac:dyDescent="0.2">
      <c r="J24" s="8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8"/>
      <c r="K25"/>
      <c r="L25"/>
      <c r="M25"/>
      <c r="N25"/>
      <c r="O25"/>
      <c r="P25"/>
      <c r="Q25"/>
      <c r="R25"/>
      <c r="S25"/>
      <c r="T25"/>
    </row>
    <row r="26" spans="1:20" x14ac:dyDescent="0.2">
      <c r="J26" s="8"/>
      <c r="T26" s="1"/>
    </row>
    <row r="27" spans="1:20" x14ac:dyDescent="0.2">
      <c r="A27" s="1"/>
    </row>
    <row r="28" spans="1:20" s="8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8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8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8" customFormat="1" x14ac:dyDescent="0.2">
      <c r="B31"/>
      <c r="C31"/>
      <c r="D31"/>
      <c r="E31"/>
      <c r="F31"/>
      <c r="G31"/>
      <c r="H31"/>
      <c r="I31"/>
      <c r="J31"/>
    </row>
    <row r="32" spans="1:20" s="8" customFormat="1" x14ac:dyDescent="0.2">
      <c r="B32"/>
      <c r="C32"/>
      <c r="D32"/>
      <c r="E32"/>
      <c r="F32"/>
      <c r="G32"/>
      <c r="H32"/>
      <c r="I32"/>
      <c r="J32"/>
    </row>
    <row r="33" spans="1:20" s="8" customFormat="1" x14ac:dyDescent="0.2">
      <c r="B33"/>
      <c r="C33"/>
      <c r="D33"/>
      <c r="E33"/>
      <c r="F33"/>
      <c r="G33"/>
      <c r="H33"/>
      <c r="I33"/>
      <c r="J33"/>
    </row>
    <row r="34" spans="1:20" s="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8"/>
      <c r="T35" s="8"/>
    </row>
    <row r="36" spans="1:20" x14ac:dyDescent="0.2">
      <c r="A36" s="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selection activeCell="I15" sqref="I15"/>
    </sheetView>
  </sheetViews>
  <sheetFormatPr defaultRowHeight="12.75" x14ac:dyDescent="0.2"/>
  <cols>
    <col min="1" max="1" width="1.7109375" customWidth="1"/>
    <col min="2" max="2" width="11.5703125" bestFit="1" customWidth="1"/>
    <col min="3" max="3" width="11" customWidth="1"/>
    <col min="4" max="4" width="12.42578125" bestFit="1" customWidth="1"/>
    <col min="5" max="5" width="7.5703125" bestFit="1" customWidth="1"/>
    <col min="6" max="6" width="8.28515625" bestFit="1" customWidth="1"/>
    <col min="7" max="7" width="13.140625" customWidth="1"/>
    <col min="8" max="8" width="8.5703125" customWidth="1"/>
    <col min="9" max="9" width="13.7109375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140625" customWidth="1"/>
    <col min="15" max="15" width="7" customWidth="1"/>
    <col min="16" max="16" width="11.28515625" customWidth="1"/>
    <col min="17" max="17" width="13" customWidth="1"/>
    <col min="18" max="18" width="13.7109375" bestFit="1" customWidth="1"/>
    <col min="19" max="19" width="7.5703125" bestFit="1" customWidth="1"/>
  </cols>
  <sheetData>
    <row r="1" spans="1:20" ht="30" x14ac:dyDescent="0.25">
      <c r="B1" s="39" t="s">
        <v>94</v>
      </c>
      <c r="C1" s="39" t="s">
        <v>95</v>
      </c>
      <c r="D1" s="39" t="s">
        <v>96</v>
      </c>
      <c r="E1" s="39" t="s">
        <v>98</v>
      </c>
      <c r="F1" s="26"/>
      <c r="G1" s="39" t="s">
        <v>99</v>
      </c>
    </row>
    <row r="2" spans="1:20" ht="15.75" x14ac:dyDescent="0.25">
      <c r="B2" s="17"/>
      <c r="C2" s="17" t="str">
        <f>EnergyBalance!E2</f>
        <v>GAS</v>
      </c>
      <c r="D2" s="17" t="str">
        <f>EnergyBalance!E3</f>
        <v>Natural Gas</v>
      </c>
      <c r="E2" s="17" t="str">
        <f>EnergyBalance!R2</f>
        <v>PJ</v>
      </c>
      <c r="G2" s="17" t="str">
        <f>EnergyBalance!Q2</f>
        <v>M€2005</v>
      </c>
      <c r="K2" s="160" t="s">
        <v>14</v>
      </c>
      <c r="L2" s="160"/>
      <c r="M2" s="161"/>
      <c r="N2" s="161"/>
      <c r="O2" s="161"/>
      <c r="P2" s="161"/>
      <c r="Q2" s="161"/>
      <c r="R2" s="161"/>
      <c r="S2" s="161"/>
    </row>
    <row r="3" spans="1:20" x14ac:dyDescent="0.2">
      <c r="K3" s="162" t="s">
        <v>7</v>
      </c>
      <c r="L3" s="163" t="s">
        <v>30</v>
      </c>
      <c r="M3" s="162" t="s">
        <v>0</v>
      </c>
      <c r="N3" s="162" t="s">
        <v>3</v>
      </c>
      <c r="O3" s="162" t="s">
        <v>4</v>
      </c>
      <c r="P3" s="162" t="s">
        <v>8</v>
      </c>
      <c r="Q3" s="162" t="s">
        <v>9</v>
      </c>
      <c r="R3" s="162" t="s">
        <v>10</v>
      </c>
      <c r="S3" s="162" t="s">
        <v>12</v>
      </c>
    </row>
    <row r="4" spans="1:20" ht="23.25" thickBot="1" x14ac:dyDescent="0.25">
      <c r="C4" s="1"/>
      <c r="K4" s="164" t="s">
        <v>40</v>
      </c>
      <c r="L4" s="164" t="s">
        <v>31</v>
      </c>
      <c r="M4" s="164" t="s">
        <v>26</v>
      </c>
      <c r="N4" s="164" t="s">
        <v>27</v>
      </c>
      <c r="O4" s="164" t="s">
        <v>4</v>
      </c>
      <c r="P4" s="164" t="s">
        <v>43</v>
      </c>
      <c r="Q4" s="164" t="s">
        <v>44</v>
      </c>
      <c r="R4" s="164" t="s">
        <v>28</v>
      </c>
      <c r="S4" s="164" t="s">
        <v>29</v>
      </c>
    </row>
    <row r="5" spans="1:20" x14ac:dyDescent="0.2">
      <c r="K5" s="165" t="s">
        <v>93</v>
      </c>
      <c r="L5" s="166"/>
      <c r="M5" s="165" t="str">
        <f>C2</f>
        <v>GAS</v>
      </c>
      <c r="N5" s="165" t="str">
        <f>D2</f>
        <v>Natural Gas</v>
      </c>
      <c r="O5" s="165" t="str">
        <f>$E$2</f>
        <v>PJ</v>
      </c>
      <c r="P5" s="165"/>
      <c r="Q5" s="165"/>
      <c r="R5" s="165"/>
      <c r="S5" s="165"/>
    </row>
    <row r="6" spans="1:20" x14ac:dyDescent="0.2">
      <c r="K6" s="14"/>
      <c r="L6" s="8"/>
      <c r="M6" s="14"/>
      <c r="N6" s="14"/>
      <c r="O6" s="14"/>
      <c r="P6" s="14"/>
      <c r="Q6" s="14"/>
      <c r="R6" s="14"/>
      <c r="S6" s="14"/>
    </row>
    <row r="7" spans="1:20" x14ac:dyDescent="0.2">
      <c r="F7" s="6" t="s">
        <v>13</v>
      </c>
      <c r="H7" s="6"/>
      <c r="K7" s="160" t="s">
        <v>15</v>
      </c>
      <c r="L7" s="160"/>
      <c r="M7" s="167"/>
      <c r="N7" s="167"/>
      <c r="O7" s="167"/>
      <c r="P7" s="167"/>
      <c r="Q7" s="167"/>
      <c r="R7" s="167"/>
      <c r="S7" s="167"/>
    </row>
    <row r="8" spans="1:20" x14ac:dyDescent="0.2">
      <c r="B8" s="2" t="s">
        <v>1</v>
      </c>
      <c r="C8" s="25" t="s">
        <v>5</v>
      </c>
      <c r="D8" s="2" t="s">
        <v>6</v>
      </c>
      <c r="E8" s="2" t="s">
        <v>156</v>
      </c>
      <c r="F8" s="2" t="s">
        <v>8</v>
      </c>
      <c r="G8" s="110" t="s">
        <v>37</v>
      </c>
      <c r="H8" s="110" t="s">
        <v>38</v>
      </c>
      <c r="I8" s="110" t="s">
        <v>100</v>
      </c>
      <c r="K8" s="162" t="s">
        <v>11</v>
      </c>
      <c r="L8" s="163" t="s">
        <v>30</v>
      </c>
      <c r="M8" s="162" t="s">
        <v>1</v>
      </c>
      <c r="N8" s="162" t="s">
        <v>2</v>
      </c>
      <c r="O8" s="162" t="s">
        <v>16</v>
      </c>
      <c r="P8" s="162" t="s">
        <v>17</v>
      </c>
      <c r="Q8" s="162" t="s">
        <v>18</v>
      </c>
      <c r="R8" s="162" t="s">
        <v>19</v>
      </c>
      <c r="S8" s="162" t="s">
        <v>20</v>
      </c>
    </row>
    <row r="9" spans="1:20" s="8" customFormat="1" ht="23.25" thickBot="1" x14ac:dyDescent="0.25">
      <c r="B9" s="21" t="s">
        <v>42</v>
      </c>
      <c r="C9" s="21" t="s">
        <v>32</v>
      </c>
      <c r="D9" s="21" t="s">
        <v>33</v>
      </c>
      <c r="E9" s="141"/>
      <c r="F9" s="141"/>
      <c r="G9" s="141" t="s">
        <v>39</v>
      </c>
      <c r="H9" s="141" t="s">
        <v>117</v>
      </c>
      <c r="I9" s="141" t="s">
        <v>116</v>
      </c>
      <c r="K9" s="164" t="s">
        <v>41</v>
      </c>
      <c r="L9" s="164" t="s">
        <v>31</v>
      </c>
      <c r="M9" s="164" t="s">
        <v>21</v>
      </c>
      <c r="N9" s="164" t="s">
        <v>22</v>
      </c>
      <c r="O9" s="164" t="s">
        <v>23</v>
      </c>
      <c r="P9" s="164" t="s">
        <v>24</v>
      </c>
      <c r="Q9" s="164" t="s">
        <v>46</v>
      </c>
      <c r="R9" s="164" t="s">
        <v>45</v>
      </c>
      <c r="S9" s="164" t="s">
        <v>25</v>
      </c>
    </row>
    <row r="10" spans="1:20" s="8" customFormat="1" ht="13.5" thickBot="1" x14ac:dyDescent="0.25">
      <c r="B10" s="21" t="s">
        <v>114</v>
      </c>
      <c r="C10" s="19"/>
      <c r="D10" s="19"/>
      <c r="E10" s="19"/>
      <c r="F10" s="19"/>
      <c r="G10" s="19" t="str">
        <f>$E$2</f>
        <v>PJ</v>
      </c>
      <c r="H10" s="19" t="str">
        <f>$G$2&amp;"/"&amp;$E$2</f>
        <v>M€2005/PJ</v>
      </c>
      <c r="I10" s="19" t="str">
        <f>$E$2</f>
        <v>PJ</v>
      </c>
      <c r="K10" s="164" t="s">
        <v>103</v>
      </c>
      <c r="L10" s="168"/>
      <c r="M10" s="168"/>
      <c r="N10" s="168"/>
      <c r="O10" s="168"/>
      <c r="P10" s="168"/>
      <c r="Q10" s="168"/>
      <c r="R10" s="168"/>
      <c r="S10" s="168"/>
    </row>
    <row r="11" spans="1:20" s="8" customFormat="1" ht="13.5" customHeight="1" x14ac:dyDescent="0.2">
      <c r="B11" s="14" t="str">
        <f>M11</f>
        <v>MINGAS1</v>
      </c>
      <c r="C11" s="14"/>
      <c r="D11" s="14" t="str">
        <f>$M$5</f>
        <v>GAS</v>
      </c>
      <c r="E11" s="14">
        <v>2005</v>
      </c>
      <c r="F11" s="14" t="s">
        <v>175</v>
      </c>
      <c r="G11" s="96">
        <v>15000</v>
      </c>
      <c r="H11" s="98">
        <v>3.6</v>
      </c>
      <c r="I11" s="92">
        <f>EnergyBalance!$E$5*EnergyBalance!E37</f>
        <v>3949.7485000000001</v>
      </c>
      <c r="K11" s="165" t="str">
        <f>EnergyBalance!$B$5</f>
        <v>MIN</v>
      </c>
      <c r="L11" s="166"/>
      <c r="M11" s="166" t="str">
        <f>$K$11&amp;$C$2&amp;1</f>
        <v>MINGAS1</v>
      </c>
      <c r="N11" s="169" t="str">
        <f>"Domestic Supply of "&amp;$D$2&amp; " Step "&amp;RIGHT(M11,1)</f>
        <v>Domestic Supply of Natural Gas Step 1</v>
      </c>
      <c r="O11" s="166" t="str">
        <f>$E$2</f>
        <v>PJ</v>
      </c>
      <c r="P11" s="166"/>
      <c r="Q11" s="166"/>
      <c r="R11" s="166"/>
      <c r="S11" s="166"/>
    </row>
    <row r="12" spans="1:20" ht="13.5" customHeight="1" x14ac:dyDescent="0.2">
      <c r="A12" s="8"/>
      <c r="B12" s="14"/>
      <c r="C12" s="14"/>
      <c r="D12" s="14"/>
      <c r="E12" s="14">
        <v>2006</v>
      </c>
      <c r="F12" s="14" t="s">
        <v>175</v>
      </c>
      <c r="G12" s="150"/>
      <c r="H12" s="151"/>
      <c r="I12" s="143">
        <f>I11</f>
        <v>3949.7485000000001</v>
      </c>
      <c r="J12" s="8"/>
      <c r="K12" s="166"/>
      <c r="L12" s="166"/>
      <c r="M12" s="166" t="str">
        <f>$K$11&amp;$C$2&amp;2</f>
        <v>MINGAS2</v>
      </c>
      <c r="N12" s="169" t="str">
        <f>"Domestic Supply of "&amp;$D$2&amp; " Step "&amp;RIGHT(M12,1)</f>
        <v>Domestic Supply of Natural Gas Step 2</v>
      </c>
      <c r="O12" s="166" t="str">
        <f>$E$2</f>
        <v>PJ</v>
      </c>
      <c r="P12" s="166"/>
      <c r="Q12" s="166"/>
      <c r="R12" s="166"/>
      <c r="S12" s="166"/>
      <c r="T12" s="8"/>
    </row>
    <row r="13" spans="1:20" ht="13.5" customHeight="1" x14ac:dyDescent="0.2">
      <c r="B13" s="14" t="str">
        <f>M12</f>
        <v>MINGAS2</v>
      </c>
      <c r="C13" s="14"/>
      <c r="D13" s="14" t="str">
        <f>$M$5</f>
        <v>GAS</v>
      </c>
      <c r="E13" s="14">
        <v>2005</v>
      </c>
      <c r="F13" s="14" t="s">
        <v>175</v>
      </c>
      <c r="G13" s="96">
        <v>20000</v>
      </c>
      <c r="H13" s="98">
        <v>4.1399999999999997</v>
      </c>
      <c r="I13" s="92">
        <f>EnergyBalance!$E$5*EnergyBalance!E38</f>
        <v>3949.7485000000001</v>
      </c>
      <c r="J13" s="8"/>
      <c r="K13" s="166"/>
      <c r="L13" s="166"/>
      <c r="M13" s="166" t="str">
        <f>$K$11&amp;$C$2&amp;3</f>
        <v>MINGAS3</v>
      </c>
      <c r="N13" s="169" t="str">
        <f>"Domestic Supply of "&amp;$D$2&amp; " Step "&amp;RIGHT(M13,1)</f>
        <v>Domestic Supply of Natural Gas Step 3</v>
      </c>
      <c r="O13" s="166" t="str">
        <f>$E$2</f>
        <v>PJ</v>
      </c>
      <c r="P13" s="166"/>
      <c r="Q13" s="166"/>
      <c r="R13" s="166"/>
      <c r="S13" s="166"/>
    </row>
    <row r="14" spans="1:20" ht="13.5" customHeight="1" x14ac:dyDescent="0.2">
      <c r="B14" s="14"/>
      <c r="C14" s="14"/>
      <c r="D14" s="14"/>
      <c r="E14" s="14">
        <v>2006</v>
      </c>
      <c r="F14" s="14" t="s">
        <v>175</v>
      </c>
      <c r="G14" s="150"/>
      <c r="H14" s="151"/>
      <c r="I14" s="143">
        <f>I13</f>
        <v>3949.7485000000001</v>
      </c>
      <c r="K14" s="166" t="str">
        <f>EnergyBalance!$B$6</f>
        <v>IMP</v>
      </c>
      <c r="L14" s="166"/>
      <c r="M14" s="166" t="str">
        <f>$K$14&amp;$C$2&amp;1</f>
        <v>IMPGAS1</v>
      </c>
      <c r="N14" s="169" t="str">
        <f>"Import of "&amp;$D$2&amp; " Step "&amp;RIGHT(M14,1)</f>
        <v>Import of Natural Gas Step 1</v>
      </c>
      <c r="O14" s="166" t="str">
        <f>$E$2</f>
        <v>PJ</v>
      </c>
      <c r="P14" s="166"/>
      <c r="Q14" s="166"/>
      <c r="R14" s="166"/>
      <c r="S14" s="166"/>
    </row>
    <row r="15" spans="1:20" s="8" customFormat="1" ht="13.5" customHeight="1" x14ac:dyDescent="0.2">
      <c r="A15"/>
      <c r="B15" s="14" t="str">
        <f>M13</f>
        <v>MINGAS3</v>
      </c>
      <c r="C15" s="14"/>
      <c r="D15" s="14" t="str">
        <f>$M$5</f>
        <v>GAS</v>
      </c>
      <c r="G15" s="96">
        <v>30000</v>
      </c>
      <c r="H15" s="98">
        <v>5.4</v>
      </c>
      <c r="I15" s="92"/>
      <c r="J15"/>
      <c r="K15" s="166" t="str">
        <f>EnergyBalance!B7</f>
        <v>EXP</v>
      </c>
      <c r="L15" s="166"/>
      <c r="M15" s="166" t="str">
        <f>$K$15&amp;$C$2&amp;1</f>
        <v>EXPGAS1</v>
      </c>
      <c r="N15" s="169" t="str">
        <f>"Export of "&amp;$D$2&amp; " Step "&amp;RIGHT(M15,1)</f>
        <v>Export of Natural Gas Step 1</v>
      </c>
      <c r="O15" s="166" t="str">
        <f>$E$2</f>
        <v>PJ</v>
      </c>
      <c r="P15" s="166"/>
      <c r="Q15" s="166"/>
      <c r="R15" s="166"/>
      <c r="S15" s="166"/>
      <c r="T15"/>
    </row>
    <row r="16" spans="1:20" s="8" customFormat="1" x14ac:dyDescent="0.2">
      <c r="A16"/>
      <c r="B16" s="14" t="str">
        <f>M14</f>
        <v>IMPGAS1</v>
      </c>
      <c r="C16" s="14"/>
      <c r="D16" s="14" t="str">
        <f>$M$5</f>
        <v>GAS</v>
      </c>
      <c r="E16" s="14"/>
      <c r="F16" s="14"/>
      <c r="G16" s="13"/>
      <c r="H16" s="98">
        <v>4.5</v>
      </c>
      <c r="J16"/>
    </row>
    <row r="17" spans="1:20" s="8" customFormat="1" x14ac:dyDescent="0.2">
      <c r="B17" s="14" t="str">
        <f>M15</f>
        <v>EXPGAS1</v>
      </c>
      <c r="C17" s="14" t="str">
        <f>$M$5</f>
        <v>GAS</v>
      </c>
      <c r="D17" s="14"/>
      <c r="E17" s="14">
        <v>2005</v>
      </c>
      <c r="F17" s="14" t="s">
        <v>175</v>
      </c>
      <c r="G17"/>
      <c r="H17" s="98">
        <v>4.5</v>
      </c>
      <c r="I17" s="93">
        <f>-EnergyBalance!E7</f>
        <v>2516.3310000000001</v>
      </c>
    </row>
    <row r="18" spans="1:20" s="8" customFormat="1" x14ac:dyDescent="0.2">
      <c r="B18" s="14"/>
      <c r="C18" s="14"/>
      <c r="E18" s="14">
        <v>2006</v>
      </c>
      <c r="F18" s="14" t="s">
        <v>175</v>
      </c>
      <c r="G18" s="13"/>
      <c r="H18"/>
      <c r="I18" s="143">
        <f>I17</f>
        <v>2516.3310000000001</v>
      </c>
    </row>
    <row r="19" spans="1:20" s="8" customFormat="1" x14ac:dyDescent="0.2">
      <c r="E19"/>
      <c r="F19"/>
      <c r="G19"/>
      <c r="H19"/>
      <c r="I19"/>
    </row>
    <row r="20" spans="1:20" x14ac:dyDescent="0.2">
      <c r="A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20" x14ac:dyDescent="0.2">
      <c r="B22" s="96"/>
      <c r="C22" s="1" t="s">
        <v>166</v>
      </c>
    </row>
    <row r="23" spans="1:20" s="1" customFormat="1" x14ac:dyDescent="0.2">
      <c r="A23"/>
      <c r="B23" s="94"/>
      <c r="C23" s="1" t="s">
        <v>167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2">
      <c r="T24" s="1"/>
    </row>
    <row r="25" spans="1:20" x14ac:dyDescent="0.2">
      <c r="A25" s="1"/>
      <c r="J25" s="1"/>
    </row>
    <row r="26" spans="1:20" s="8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8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20" s="8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1:20" s="8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8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8" customFormat="1" x14ac:dyDescent="0.2">
      <c r="B31"/>
      <c r="C31"/>
      <c r="D31"/>
      <c r="E31"/>
      <c r="F31"/>
      <c r="G31"/>
      <c r="H31"/>
      <c r="I31"/>
    </row>
    <row r="32" spans="1:20" s="8" customFormat="1" x14ac:dyDescent="0.2">
      <c r="B32"/>
      <c r="C32"/>
      <c r="D32"/>
      <c r="E32"/>
      <c r="F32"/>
      <c r="G32"/>
      <c r="H32"/>
      <c r="I32"/>
    </row>
    <row r="33" spans="1:20" s="8" customFormat="1" x14ac:dyDescent="0.2">
      <c r="B33"/>
      <c r="C33"/>
      <c r="D33"/>
      <c r="E33"/>
      <c r="F33"/>
      <c r="G33"/>
      <c r="H33"/>
      <c r="I33"/>
    </row>
    <row r="34" spans="1:20" x14ac:dyDescent="0.2">
      <c r="A34" s="8"/>
      <c r="J34" s="8"/>
      <c r="T34" s="8"/>
    </row>
    <row r="35" spans="1:20" x14ac:dyDescent="0.2">
      <c r="A35" s="8"/>
      <c r="J35" s="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H18" sqref="H18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" customWidth="1"/>
    <col min="4" max="4" width="21.28515625" customWidth="1"/>
    <col min="5" max="5" width="7.5703125" bestFit="1" customWidth="1"/>
    <col min="6" max="6" width="8.28515625" bestFit="1" customWidth="1"/>
    <col min="7" max="7" width="13.140625" customWidth="1"/>
    <col min="8" max="8" width="8.5703125" customWidth="1"/>
    <col min="9" max="9" width="13.7109375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54.42578125" customWidth="1"/>
    <col min="15" max="15" width="7" customWidth="1"/>
    <col min="16" max="16" width="11.28515625" customWidth="1"/>
    <col min="17" max="17" width="13" customWidth="1"/>
    <col min="18" max="18" width="13.7109375" bestFit="1" customWidth="1"/>
    <col min="19" max="19" width="7.5703125" bestFit="1" customWidth="1"/>
  </cols>
  <sheetData>
    <row r="1" spans="1:25" ht="30" x14ac:dyDescent="0.25">
      <c r="B1" s="39" t="s">
        <v>94</v>
      </c>
      <c r="C1" s="39" t="s">
        <v>95</v>
      </c>
      <c r="D1" s="39" t="s">
        <v>96</v>
      </c>
      <c r="E1" s="39" t="s">
        <v>98</v>
      </c>
      <c r="F1" s="26"/>
      <c r="G1" s="39" t="s">
        <v>99</v>
      </c>
    </row>
    <row r="2" spans="1:25" ht="15.75" x14ac:dyDescent="0.25">
      <c r="B2" s="17"/>
      <c r="C2" s="17" t="str">
        <f>EnergyBalance!F2</f>
        <v>OIL</v>
      </c>
      <c r="D2" s="29" t="str">
        <f>EnergyBalance!F3</f>
        <v>Crude Oil</v>
      </c>
      <c r="E2" s="17" t="str">
        <f>EnergyBalance!R2</f>
        <v>PJ</v>
      </c>
      <c r="G2" s="17" t="str">
        <f>EnergyBalance!Q2</f>
        <v>M€2005</v>
      </c>
      <c r="K2" s="160" t="s">
        <v>14</v>
      </c>
      <c r="L2" s="160"/>
      <c r="M2" s="161"/>
      <c r="N2" s="161"/>
      <c r="O2" s="161"/>
      <c r="P2" s="161"/>
      <c r="Q2" s="161"/>
      <c r="R2" s="161"/>
      <c r="S2" s="161"/>
    </row>
    <row r="3" spans="1:25" x14ac:dyDescent="0.2">
      <c r="K3" s="162" t="s">
        <v>7</v>
      </c>
      <c r="L3" s="163" t="s">
        <v>30</v>
      </c>
      <c r="M3" s="162" t="s">
        <v>0</v>
      </c>
      <c r="N3" s="162" t="s">
        <v>3</v>
      </c>
      <c r="O3" s="162" t="s">
        <v>4</v>
      </c>
      <c r="P3" s="162" t="s">
        <v>8</v>
      </c>
      <c r="Q3" s="162" t="s">
        <v>9</v>
      </c>
      <c r="R3" s="162" t="s">
        <v>10</v>
      </c>
      <c r="S3" s="162" t="s">
        <v>12</v>
      </c>
    </row>
    <row r="4" spans="1:25" ht="23.25" thickBot="1" x14ac:dyDescent="0.25">
      <c r="C4" s="1"/>
      <c r="K4" s="164" t="s">
        <v>40</v>
      </c>
      <c r="L4" s="164" t="s">
        <v>31</v>
      </c>
      <c r="M4" s="164" t="s">
        <v>26</v>
      </c>
      <c r="N4" s="164" t="s">
        <v>27</v>
      </c>
      <c r="O4" s="164" t="s">
        <v>4</v>
      </c>
      <c r="P4" s="164" t="s">
        <v>43</v>
      </c>
      <c r="Q4" s="164" t="s">
        <v>44</v>
      </c>
      <c r="R4" s="164" t="s">
        <v>28</v>
      </c>
      <c r="S4" s="164" t="s">
        <v>29</v>
      </c>
      <c r="V4" s="8"/>
      <c r="W4" s="8"/>
    </row>
    <row r="5" spans="1:25" x14ac:dyDescent="0.2">
      <c r="K5" s="165" t="s">
        <v>93</v>
      </c>
      <c r="L5" s="166"/>
      <c r="M5" s="165" t="str">
        <f>C2</f>
        <v>OIL</v>
      </c>
      <c r="N5" s="165" t="str">
        <f>D2</f>
        <v>Crude Oil</v>
      </c>
      <c r="O5" s="165" t="str">
        <f>$E$2</f>
        <v>PJ</v>
      </c>
      <c r="P5" s="165"/>
      <c r="Q5" s="165"/>
      <c r="R5" s="165"/>
      <c r="S5" s="165"/>
      <c r="U5" s="8"/>
      <c r="V5" s="8"/>
      <c r="W5" s="8"/>
      <c r="X5" s="8"/>
      <c r="Y5" s="8"/>
    </row>
    <row r="6" spans="1:25" x14ac:dyDescent="0.2">
      <c r="K6" s="14"/>
      <c r="L6" s="8"/>
      <c r="M6" s="14"/>
      <c r="N6" s="14"/>
      <c r="O6" s="14"/>
      <c r="P6" s="14"/>
      <c r="Q6" s="14"/>
      <c r="R6" s="14"/>
      <c r="S6" s="14"/>
      <c r="U6" s="8"/>
      <c r="V6" s="8"/>
      <c r="W6" s="8"/>
      <c r="X6" s="8"/>
      <c r="Y6" s="8"/>
    </row>
    <row r="7" spans="1:25" x14ac:dyDescent="0.2">
      <c r="F7" s="6" t="s">
        <v>13</v>
      </c>
      <c r="H7" s="6"/>
      <c r="K7" s="160" t="s">
        <v>15</v>
      </c>
      <c r="L7" s="160"/>
      <c r="M7" s="167"/>
      <c r="N7" s="167"/>
      <c r="O7" s="167"/>
      <c r="P7" s="167"/>
      <c r="Q7" s="167"/>
      <c r="R7" s="167"/>
      <c r="S7" s="167"/>
      <c r="X7" s="8"/>
      <c r="Y7" s="8"/>
    </row>
    <row r="8" spans="1:25" x14ac:dyDescent="0.2">
      <c r="B8" s="2" t="s">
        <v>1</v>
      </c>
      <c r="C8" s="25" t="s">
        <v>5</v>
      </c>
      <c r="D8" s="2" t="s">
        <v>6</v>
      </c>
      <c r="E8" s="2" t="s">
        <v>156</v>
      </c>
      <c r="F8" s="2" t="s">
        <v>8</v>
      </c>
      <c r="G8" s="110" t="s">
        <v>37</v>
      </c>
      <c r="H8" s="110" t="s">
        <v>38</v>
      </c>
      <c r="I8" s="110" t="s">
        <v>100</v>
      </c>
      <c r="K8" s="162" t="s">
        <v>11</v>
      </c>
      <c r="L8" s="163" t="s">
        <v>30</v>
      </c>
      <c r="M8" s="162" t="s">
        <v>1</v>
      </c>
      <c r="N8" s="162" t="s">
        <v>2</v>
      </c>
      <c r="O8" s="162" t="s">
        <v>16</v>
      </c>
      <c r="P8" s="162" t="s">
        <v>17</v>
      </c>
      <c r="Q8" s="162" t="s">
        <v>18</v>
      </c>
      <c r="R8" s="162" t="s">
        <v>19</v>
      </c>
      <c r="S8" s="162" t="s">
        <v>20</v>
      </c>
    </row>
    <row r="9" spans="1:25" ht="23.25" thickBot="1" x14ac:dyDescent="0.25">
      <c r="B9" s="21" t="s">
        <v>42</v>
      </c>
      <c r="C9" s="21" t="s">
        <v>32</v>
      </c>
      <c r="D9" s="21" t="s">
        <v>33</v>
      </c>
      <c r="E9" s="141"/>
      <c r="F9" s="141"/>
      <c r="G9" s="141" t="s">
        <v>39</v>
      </c>
      <c r="H9" s="141" t="s">
        <v>117</v>
      </c>
      <c r="I9" s="141" t="s">
        <v>116</v>
      </c>
      <c r="J9" s="8"/>
      <c r="K9" s="164" t="s">
        <v>41</v>
      </c>
      <c r="L9" s="164" t="s">
        <v>31</v>
      </c>
      <c r="M9" s="164" t="s">
        <v>21</v>
      </c>
      <c r="N9" s="164" t="s">
        <v>22</v>
      </c>
      <c r="O9" s="164" t="s">
        <v>23</v>
      </c>
      <c r="P9" s="164" t="s">
        <v>24</v>
      </c>
      <c r="Q9" s="164" t="s">
        <v>46</v>
      </c>
      <c r="R9" s="164" t="s">
        <v>45</v>
      </c>
      <c r="S9" s="164" t="s">
        <v>25</v>
      </c>
    </row>
    <row r="10" spans="1:25" s="8" customFormat="1" ht="13.5" thickBot="1" x14ac:dyDescent="0.25">
      <c r="B10" s="21" t="s">
        <v>114</v>
      </c>
      <c r="C10" s="19"/>
      <c r="D10" s="19"/>
      <c r="E10" s="19"/>
      <c r="F10" s="19"/>
      <c r="G10" s="19" t="str">
        <f>$E$2</f>
        <v>PJ</v>
      </c>
      <c r="H10" s="19" t="str">
        <f>$G$2&amp;"/"&amp;$E$2</f>
        <v>M€2005/PJ</v>
      </c>
      <c r="I10" s="19" t="str">
        <f>$E$2</f>
        <v>PJ</v>
      </c>
      <c r="K10" s="164" t="s">
        <v>103</v>
      </c>
      <c r="L10" s="168"/>
      <c r="M10" s="168"/>
      <c r="N10" s="168"/>
      <c r="O10" s="168"/>
      <c r="P10" s="168"/>
      <c r="Q10" s="168"/>
      <c r="R10" s="168"/>
      <c r="S10" s="168"/>
      <c r="T10"/>
      <c r="X10"/>
      <c r="Y10"/>
    </row>
    <row r="11" spans="1:25" s="8" customFormat="1" x14ac:dyDescent="0.2">
      <c r="B11" s="14" t="str">
        <f>M11</f>
        <v>MINOIL1</v>
      </c>
      <c r="C11" s="14"/>
      <c r="D11" s="14" t="str">
        <f>$M$5</f>
        <v>OIL</v>
      </c>
      <c r="E11" s="14">
        <v>2005</v>
      </c>
      <c r="F11" s="14" t="s">
        <v>175</v>
      </c>
      <c r="G11" s="96">
        <v>24000</v>
      </c>
      <c r="H11" s="98">
        <v>6.4</v>
      </c>
      <c r="I11" s="92">
        <f>EnergyBalance!$F$5*EnergyBalance!F37</f>
        <v>4302.8095999999996</v>
      </c>
      <c r="K11" s="165" t="str">
        <f>EnergyBalance!$B$5</f>
        <v>MIN</v>
      </c>
      <c r="L11" s="166"/>
      <c r="M11" s="166" t="str">
        <f>$K$11&amp;$C$2&amp;1</f>
        <v>MINOIL1</v>
      </c>
      <c r="N11" s="169" t="str">
        <f>"Domestic Supply of "&amp;$D$2&amp; " Step "&amp;RIGHT(M11,1)</f>
        <v>Domestic Supply of Crude Oil Step 1</v>
      </c>
      <c r="O11" s="166" t="str">
        <f>$E$2</f>
        <v>PJ</v>
      </c>
      <c r="P11" s="166"/>
      <c r="Q11" s="166"/>
      <c r="R11" s="166"/>
      <c r="S11" s="166"/>
    </row>
    <row r="12" spans="1:25" s="8" customFormat="1" x14ac:dyDescent="0.2">
      <c r="B12" s="14"/>
      <c r="C12" s="14"/>
      <c r="D12" s="14"/>
      <c r="E12" s="14">
        <v>2005</v>
      </c>
      <c r="F12" s="14" t="s">
        <v>175</v>
      </c>
      <c r="G12" s="150"/>
      <c r="H12" s="151"/>
      <c r="I12" s="142">
        <f>I11</f>
        <v>4302.8095999999996</v>
      </c>
      <c r="K12" s="166"/>
      <c r="L12" s="166"/>
      <c r="M12" s="166" t="str">
        <f>$K$11&amp;$C$2&amp;2</f>
        <v>MINOIL2</v>
      </c>
      <c r="N12" s="169" t="str">
        <f>"Domestic Supply of "&amp;$D$2&amp; " Step "&amp;RIGHT(M12,1)</f>
        <v>Domestic Supply of Crude Oil Step 2</v>
      </c>
      <c r="O12" s="166" t="str">
        <f>$E$2</f>
        <v>PJ</v>
      </c>
      <c r="P12" s="166"/>
      <c r="Q12" s="166"/>
      <c r="R12" s="166"/>
      <c r="S12" s="166"/>
    </row>
    <row r="13" spans="1:25" x14ac:dyDescent="0.2">
      <c r="A13" s="8"/>
      <c r="B13" s="14" t="str">
        <f>M12</f>
        <v>MINOIL2</v>
      </c>
      <c r="C13" s="14"/>
      <c r="D13" s="14" t="str">
        <f>$M$5</f>
        <v>OIL</v>
      </c>
      <c r="E13" s="14">
        <v>2005</v>
      </c>
      <c r="F13" s="14" t="s">
        <v>175</v>
      </c>
      <c r="G13" s="96">
        <v>6000</v>
      </c>
      <c r="H13" s="98">
        <v>7.3599999999999994</v>
      </c>
      <c r="I13" s="92">
        <f>EnergyBalance!$F$5*EnergyBalance!F38</f>
        <v>1075.7023999999999</v>
      </c>
      <c r="J13" s="8"/>
      <c r="K13" s="166"/>
      <c r="L13" s="166"/>
      <c r="M13" s="166" t="str">
        <f>$K$11&amp;$C$2&amp;3</f>
        <v>MINOIL3</v>
      </c>
      <c r="N13" s="169" t="str">
        <f>"Domestic Supply of "&amp;$D$2&amp; " Step "&amp;RIGHT(M13,1)</f>
        <v>Domestic Supply of Crude Oil Step 3</v>
      </c>
      <c r="O13" s="166" t="str">
        <f>$E$2</f>
        <v>PJ</v>
      </c>
      <c r="P13" s="166"/>
      <c r="Q13" s="166"/>
      <c r="R13" s="166"/>
      <c r="S13" s="166"/>
      <c r="T13" s="8"/>
      <c r="U13" s="8"/>
      <c r="V13" s="8"/>
      <c r="W13" s="8"/>
      <c r="X13" s="8"/>
      <c r="Y13" s="8"/>
    </row>
    <row r="14" spans="1:25" x14ac:dyDescent="0.2">
      <c r="A14" s="8"/>
      <c r="B14" s="14"/>
      <c r="C14" s="14"/>
      <c r="D14" s="14"/>
      <c r="E14" s="14">
        <v>2005</v>
      </c>
      <c r="F14" s="14" t="s">
        <v>175</v>
      </c>
      <c r="G14" s="150"/>
      <c r="H14" s="151"/>
      <c r="I14" s="142">
        <f>I13</f>
        <v>1075.7023999999999</v>
      </c>
      <c r="J14" s="8"/>
      <c r="K14" s="166" t="str">
        <f>EnergyBalance!$B$6</f>
        <v>IMP</v>
      </c>
      <c r="L14" s="166"/>
      <c r="M14" s="166" t="str">
        <f>$K$14&amp;$C$2&amp;1</f>
        <v>IMPOIL1</v>
      </c>
      <c r="N14" s="169" t="str">
        <f>"Import of "&amp;$D$2&amp; " Step "&amp;RIGHT(M14,1)</f>
        <v>Import of Crude Oil Step 1</v>
      </c>
      <c r="O14" s="166" t="str">
        <f>$E$2</f>
        <v>PJ</v>
      </c>
      <c r="P14" s="166"/>
      <c r="Q14" s="166"/>
      <c r="R14" s="166"/>
      <c r="S14" s="166"/>
      <c r="U14" s="8"/>
      <c r="V14" s="8"/>
      <c r="W14" s="8"/>
      <c r="X14" s="8"/>
      <c r="Y14" s="8"/>
    </row>
    <row r="15" spans="1:25" x14ac:dyDescent="0.2">
      <c r="B15" s="14" t="str">
        <f>M13</f>
        <v>MINOIL3</v>
      </c>
      <c r="C15" s="14"/>
      <c r="D15" s="14" t="str">
        <f>$M$5</f>
        <v>OIL</v>
      </c>
      <c r="E15" s="14"/>
      <c r="F15" s="14"/>
      <c r="G15" s="96">
        <v>40000</v>
      </c>
      <c r="H15" s="98">
        <v>9.6000000000000014</v>
      </c>
      <c r="I15" s="98"/>
      <c r="K15" s="166" t="str">
        <f>EnergyBalance!B7</f>
        <v>EXP</v>
      </c>
      <c r="L15" s="166"/>
      <c r="M15" s="166" t="str">
        <f>$K$15&amp;$C$2&amp;1</f>
        <v>EXPOIL1</v>
      </c>
      <c r="N15" s="169" t="str">
        <f>"Export of "&amp;$D$2&amp; " Step "&amp;RIGHT(M15,1)</f>
        <v>Export of Crude Oil Step 1</v>
      </c>
      <c r="O15" s="166" t="str">
        <f>$E$2</f>
        <v>PJ</v>
      </c>
      <c r="P15" s="166"/>
      <c r="Q15" s="166"/>
      <c r="R15" s="166"/>
      <c r="S15" s="166"/>
      <c r="X15" s="8"/>
      <c r="Y15" s="8"/>
    </row>
    <row r="16" spans="1:25" s="8" customFormat="1" x14ac:dyDescent="0.2">
      <c r="A16"/>
      <c r="B16" s="14" t="str">
        <f>M14</f>
        <v>IMPOIL1</v>
      </c>
      <c r="C16" s="14"/>
      <c r="D16" s="14" t="str">
        <f>$M$5</f>
        <v>OIL</v>
      </c>
      <c r="E16" s="14"/>
      <c r="F16" s="14"/>
      <c r="G16" s="13"/>
      <c r="H16" s="98">
        <v>8</v>
      </c>
      <c r="J16"/>
      <c r="T16"/>
      <c r="V16"/>
      <c r="W16"/>
      <c r="X16"/>
      <c r="Y16"/>
    </row>
    <row r="17" spans="1:25" s="8" customFormat="1" x14ac:dyDescent="0.2">
      <c r="A17"/>
      <c r="B17" s="14" t="str">
        <f>M15</f>
        <v>EXPOIL1</v>
      </c>
      <c r="C17" s="14" t="str">
        <f>$M$5</f>
        <v>OIL</v>
      </c>
      <c r="D17" s="14"/>
      <c r="E17" s="14">
        <v>2005</v>
      </c>
      <c r="F17" s="14" t="s">
        <v>175</v>
      </c>
      <c r="G17"/>
      <c r="H17" s="98">
        <v>8</v>
      </c>
      <c r="I17" s="93">
        <f>-EnergyBalance!F7</f>
        <v>14830.662</v>
      </c>
      <c r="J17"/>
      <c r="U17"/>
      <c r="V17"/>
      <c r="W17"/>
      <c r="X17"/>
      <c r="Y17"/>
    </row>
    <row r="18" spans="1:25" s="8" customFormat="1" x14ac:dyDescent="0.2">
      <c r="B18" s="14"/>
      <c r="C18" s="14"/>
      <c r="E18" s="14">
        <v>2005</v>
      </c>
      <c r="F18" s="14" t="s">
        <v>175</v>
      </c>
      <c r="G18" s="13"/>
      <c r="H18"/>
      <c r="I18" s="143">
        <f>I17</f>
        <v>14830.662</v>
      </c>
      <c r="U18"/>
      <c r="V18" s="1"/>
      <c r="W18" s="1"/>
      <c r="X18"/>
      <c r="Y18"/>
    </row>
    <row r="19" spans="1:25" s="8" customFormat="1" x14ac:dyDescent="0.2">
      <c r="E19"/>
      <c r="F19"/>
      <c r="G19"/>
      <c r="H19"/>
      <c r="I19"/>
      <c r="U19" s="1"/>
      <c r="V19"/>
      <c r="W19"/>
      <c r="X19" s="1"/>
      <c r="Y19" s="1"/>
    </row>
    <row r="20" spans="1:25" s="8" customFormat="1" x14ac:dyDescent="0.2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1:25" s="8" customFormat="1" x14ac:dyDescent="0.2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8" customFormat="1" x14ac:dyDescent="0.2">
      <c r="B22" s="96"/>
      <c r="C22" s="1" t="s">
        <v>166</v>
      </c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">
      <c r="A23" s="8"/>
      <c r="B23" s="94"/>
      <c r="C23" s="1" t="s">
        <v>167</v>
      </c>
      <c r="T23" s="8"/>
    </row>
    <row r="24" spans="1:25" x14ac:dyDescent="0.2">
      <c r="A24" s="8"/>
    </row>
    <row r="26" spans="1:25" x14ac:dyDescent="0.2">
      <c r="J26" s="1"/>
    </row>
    <row r="29" spans="1:25" x14ac:dyDescent="0.2">
      <c r="J29" s="8"/>
    </row>
    <row r="30" spans="1:25" x14ac:dyDescent="0.2">
      <c r="J30" s="8"/>
    </row>
    <row r="31" spans="1:25" x14ac:dyDescent="0.2"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25" x14ac:dyDescent="0.2"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0:19" x14ac:dyDescent="0.2"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0:19" x14ac:dyDescent="0.2">
      <c r="J34" s="8"/>
    </row>
    <row r="35" spans="10:19" x14ac:dyDescent="0.2">
      <c r="J35" s="8"/>
    </row>
    <row r="36" spans="10:19" x14ac:dyDescent="0.2">
      <c r="J36" s="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6"/>
  <sheetViews>
    <sheetView zoomScaleNormal="100" workbookViewId="0">
      <selection activeCell="J30" sqref="J30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2.7109375" customWidth="1"/>
    <col min="6" max="6" width="8.85546875" bestFit="1" customWidth="1"/>
    <col min="7" max="7" width="7.85546875" customWidth="1"/>
    <col min="8" max="8" width="2.140625" bestFit="1" customWidth="1"/>
    <col min="9" max="9" width="12.42578125" customWidth="1"/>
    <col min="10" max="10" width="7.140625" customWidth="1"/>
    <col min="11" max="11" width="12.85546875" bestFit="1" customWidth="1"/>
    <col min="12" max="12" width="63.42578125" bestFit="1" customWidth="1"/>
    <col min="13" max="13" width="6.140625" customWidth="1"/>
    <col min="14" max="14" width="10.42578125" bestFit="1" customWidth="1"/>
    <col min="15" max="15" width="13.28515625" customWidth="1"/>
    <col min="16" max="16" width="13.7109375" bestFit="1" customWidth="1"/>
    <col min="17" max="17" width="7.5703125" bestFit="1" customWidth="1"/>
  </cols>
  <sheetData>
    <row r="1" spans="2:17" ht="15" x14ac:dyDescent="0.25">
      <c r="B1" s="15" t="s">
        <v>94</v>
      </c>
      <c r="C1" s="15" t="s">
        <v>95</v>
      </c>
      <c r="D1" s="15" t="s">
        <v>96</v>
      </c>
      <c r="E1" s="15" t="s">
        <v>151</v>
      </c>
      <c r="F1" s="15" t="s">
        <v>119</v>
      </c>
      <c r="G1" s="15" t="s">
        <v>126</v>
      </c>
    </row>
    <row r="2" spans="2:17" ht="15.75" x14ac:dyDescent="0.25">
      <c r="B2" s="17"/>
      <c r="C2" s="17"/>
      <c r="D2" s="17" t="s">
        <v>149</v>
      </c>
      <c r="E2" s="17" t="str">
        <f>EnergyBalance!R2</f>
        <v>PJ</v>
      </c>
      <c r="F2" s="17" t="str">
        <f>EnergyBalance!Q2</f>
        <v>M€2005</v>
      </c>
      <c r="G2" s="17" t="s">
        <v>127</v>
      </c>
      <c r="I2" s="160" t="s">
        <v>14</v>
      </c>
      <c r="J2" s="160"/>
      <c r="K2" s="161"/>
      <c r="L2" s="161"/>
      <c r="M2" s="161"/>
      <c r="N2" s="161"/>
      <c r="O2" s="161"/>
      <c r="P2" s="161"/>
      <c r="Q2" s="161"/>
    </row>
    <row r="3" spans="2:17" x14ac:dyDescent="0.2">
      <c r="I3" s="162" t="s">
        <v>7</v>
      </c>
      <c r="J3" s="163" t="s">
        <v>30</v>
      </c>
      <c r="K3" s="162" t="s">
        <v>0</v>
      </c>
      <c r="L3" s="162" t="s">
        <v>3</v>
      </c>
      <c r="M3" s="162" t="s">
        <v>4</v>
      </c>
      <c r="N3" s="162" t="s">
        <v>8</v>
      </c>
      <c r="O3" s="162" t="s">
        <v>9</v>
      </c>
      <c r="P3" s="162" t="s">
        <v>10</v>
      </c>
      <c r="Q3" s="162" t="s">
        <v>12</v>
      </c>
    </row>
    <row r="4" spans="2:17" s="8" customFormat="1" ht="24" thickBot="1" x14ac:dyDescent="0.3">
      <c r="B4" s="16"/>
      <c r="C4" s="16"/>
      <c r="D4" s="16"/>
      <c r="E4" s="16"/>
      <c r="G4"/>
      <c r="I4" s="164" t="s">
        <v>40</v>
      </c>
      <c r="J4" s="164" t="s">
        <v>31</v>
      </c>
      <c r="K4" s="164" t="s">
        <v>26</v>
      </c>
      <c r="L4" s="164" t="s">
        <v>27</v>
      </c>
      <c r="M4" s="164" t="s">
        <v>4</v>
      </c>
      <c r="N4" s="164" t="s">
        <v>43</v>
      </c>
      <c r="O4" s="164" t="s">
        <v>44</v>
      </c>
      <c r="P4" s="164" t="s">
        <v>28</v>
      </c>
      <c r="Q4" s="164" t="s">
        <v>29</v>
      </c>
    </row>
    <row r="5" spans="2:17" x14ac:dyDescent="0.2">
      <c r="B5" s="10"/>
      <c r="C5" s="10"/>
      <c r="D5" s="10"/>
      <c r="E5" s="18"/>
      <c r="F5" s="18"/>
      <c r="I5" s="166" t="s">
        <v>93</v>
      </c>
      <c r="J5" s="166"/>
      <c r="K5" s="166" t="str">
        <f>EnergyBalance!$B$16&amp;EnergyBalance!$E$2</f>
        <v>RSDGAS</v>
      </c>
      <c r="L5" s="169" t="str">
        <f>EnergyBalance!$C$16&amp;" "&amp;EnergyBalance!$E$3</f>
        <v>Residential Natural Gas</v>
      </c>
      <c r="M5" s="166" t="str">
        <f>$E$2</f>
        <v>PJ</v>
      </c>
      <c r="N5" s="166"/>
      <c r="O5" s="166"/>
      <c r="P5" s="166"/>
      <c r="Q5" s="166"/>
    </row>
    <row r="6" spans="2:17" x14ac:dyDescent="0.2">
      <c r="B6" s="10"/>
      <c r="C6" s="10"/>
      <c r="D6" s="10"/>
      <c r="E6" s="18"/>
      <c r="F6" s="18"/>
      <c r="I6" s="167"/>
      <c r="J6" s="167"/>
      <c r="K6" s="167" t="str">
        <f>EnergyBalance!$B$20&amp;EnergyBalance!$F$2</f>
        <v>TRAOIL</v>
      </c>
      <c r="L6" s="167" t="str">
        <f>EnergyBalance!$C$20&amp;" "&amp;EnergyBalance!$F$3</f>
        <v>Transport Crude Oil</v>
      </c>
      <c r="M6" s="167" t="str">
        <f>$E$2</f>
        <v>PJ</v>
      </c>
      <c r="N6" s="166"/>
      <c r="O6" s="166"/>
      <c r="P6" s="166"/>
      <c r="Q6" s="166"/>
    </row>
    <row r="7" spans="2:17" x14ac:dyDescent="0.2">
      <c r="B7" s="10"/>
      <c r="C7" s="10"/>
      <c r="D7" s="10"/>
      <c r="E7" s="18"/>
      <c r="F7" s="18"/>
      <c r="I7" s="8"/>
      <c r="J7" s="8"/>
      <c r="K7" s="8"/>
      <c r="L7" s="8"/>
      <c r="M7" s="8"/>
      <c r="N7" s="8"/>
      <c r="O7" s="8"/>
      <c r="P7" s="8"/>
      <c r="Q7" s="8"/>
    </row>
    <row r="8" spans="2:17" x14ac:dyDescent="0.2">
      <c r="K8" s="44"/>
      <c r="L8" s="46"/>
    </row>
    <row r="9" spans="2:17" x14ac:dyDescent="0.2">
      <c r="D9" s="6" t="s">
        <v>13</v>
      </c>
      <c r="E9" s="6"/>
      <c r="F9" s="6"/>
      <c r="I9" s="160" t="s">
        <v>15</v>
      </c>
      <c r="J9" s="160"/>
      <c r="K9" s="167"/>
      <c r="L9" s="167"/>
      <c r="M9" s="167"/>
      <c r="N9" s="167"/>
      <c r="O9" s="167"/>
      <c r="P9" s="167"/>
      <c r="Q9" s="167"/>
    </row>
    <row r="10" spans="2:17" x14ac:dyDescent="0.2">
      <c r="B10" s="24" t="s">
        <v>1</v>
      </c>
      <c r="C10" s="24" t="s">
        <v>5</v>
      </c>
      <c r="D10" s="24" t="s">
        <v>6</v>
      </c>
      <c r="E10" s="107" t="s">
        <v>174</v>
      </c>
      <c r="F10" s="107" t="s">
        <v>108</v>
      </c>
      <c r="G10" s="107" t="s">
        <v>101</v>
      </c>
      <c r="I10" s="162" t="s">
        <v>11</v>
      </c>
      <c r="J10" s="163" t="s">
        <v>30</v>
      </c>
      <c r="K10" s="162" t="s">
        <v>1</v>
      </c>
      <c r="L10" s="162" t="s">
        <v>2</v>
      </c>
      <c r="M10" s="162" t="s">
        <v>16</v>
      </c>
      <c r="N10" s="162" t="s">
        <v>17</v>
      </c>
      <c r="O10" s="162" t="s">
        <v>18</v>
      </c>
      <c r="P10" s="162" t="s">
        <v>19</v>
      </c>
      <c r="Q10" s="162" t="s">
        <v>20</v>
      </c>
    </row>
    <row r="11" spans="2:17" ht="23.25" thickBot="1" x14ac:dyDescent="0.25">
      <c r="B11" s="22" t="s">
        <v>42</v>
      </c>
      <c r="C11" s="22" t="s">
        <v>32</v>
      </c>
      <c r="D11" s="22" t="s">
        <v>33</v>
      </c>
      <c r="E11" s="22" t="s">
        <v>34</v>
      </c>
      <c r="F11" s="22" t="s">
        <v>113</v>
      </c>
      <c r="G11" s="22" t="s">
        <v>181</v>
      </c>
      <c r="I11" s="164" t="s">
        <v>41</v>
      </c>
      <c r="J11" s="164" t="s">
        <v>31</v>
      </c>
      <c r="K11" s="164" t="s">
        <v>21</v>
      </c>
      <c r="L11" s="164" t="s">
        <v>22</v>
      </c>
      <c r="M11" s="164" t="s">
        <v>23</v>
      </c>
      <c r="N11" s="164" t="s">
        <v>24</v>
      </c>
      <c r="O11" s="164" t="s">
        <v>46</v>
      </c>
      <c r="P11" s="164" t="s">
        <v>45</v>
      </c>
      <c r="Q11" s="164" t="s">
        <v>25</v>
      </c>
    </row>
    <row r="12" spans="2:17" ht="13.5" thickBot="1" x14ac:dyDescent="0.25">
      <c r="B12" s="21" t="s">
        <v>114</v>
      </c>
      <c r="C12" s="21"/>
      <c r="D12" s="21"/>
      <c r="E12" s="19" t="str">
        <f>E2&amp;"a"</f>
        <v>PJa</v>
      </c>
      <c r="F12" s="19"/>
      <c r="G12" s="19" t="s">
        <v>115</v>
      </c>
      <c r="I12" s="164" t="s">
        <v>103</v>
      </c>
      <c r="J12" s="168"/>
      <c r="K12" s="168"/>
      <c r="L12" s="168"/>
      <c r="M12" s="168"/>
      <c r="N12" s="168"/>
      <c r="O12" s="168"/>
      <c r="P12" s="168"/>
      <c r="Q12" s="168"/>
    </row>
    <row r="13" spans="2:17" x14ac:dyDescent="0.2">
      <c r="B13" t="str">
        <f>K13</f>
        <v>FTE-RSDGAS</v>
      </c>
      <c r="C13" t="str">
        <f>RIGHT(D13,3)</f>
        <v>GAS</v>
      </c>
      <c r="D13" t="str">
        <f>$K$5</f>
        <v>RSDGAS</v>
      </c>
      <c r="E13" s="153"/>
      <c r="F13" s="95">
        <v>1</v>
      </c>
      <c r="G13" s="96">
        <v>30</v>
      </c>
      <c r="I13" s="165" t="s">
        <v>150</v>
      </c>
      <c r="J13" s="166"/>
      <c r="K13" s="166" t="str">
        <f>"FT"&amp;G2&amp;"-"&amp;K5</f>
        <v>FTE-RSDGAS</v>
      </c>
      <c r="L13" s="169" t="str">
        <f>$D$2&amp;" "&amp;G1&amp;" "&amp;EnergyBalance!$C$16&amp; " Sector- "&amp;EnergyBalance!$E$3</f>
        <v>Sector Fuel Existing Residential Sector- Natural Gas</v>
      </c>
      <c r="M13" s="166" t="str">
        <f>$E$2</f>
        <v>PJ</v>
      </c>
      <c r="N13" s="166" t="str">
        <f>$E$2&amp;"a"</f>
        <v>PJa</v>
      </c>
      <c r="O13" s="166"/>
      <c r="P13" s="166"/>
      <c r="Q13" s="166"/>
    </row>
    <row r="14" spans="2:17" x14ac:dyDescent="0.2">
      <c r="B14" s="10" t="str">
        <f>K14</f>
        <v>FTE-TRAOIL</v>
      </c>
      <c r="C14" s="10" t="str">
        <f>RIGHT(D14,3)</f>
        <v>OIL</v>
      </c>
      <c r="D14" s="10" t="str">
        <f>$K$6</f>
        <v>TRAOIL</v>
      </c>
      <c r="E14" s="149"/>
      <c r="F14" s="154">
        <v>1</v>
      </c>
      <c r="G14" s="155">
        <v>30</v>
      </c>
      <c r="I14" s="166"/>
      <c r="J14" s="166"/>
      <c r="K14" s="166" t="str">
        <f>"FT"&amp;G2&amp;"-"&amp;K6</f>
        <v>FTE-TRAOIL</v>
      </c>
      <c r="L14" s="170" t="str">
        <f>$D$2&amp;" "&amp;G1&amp;" "&amp;EnergyBalance!$C$20&amp; " Sector- "&amp;EnergyBalance!$F$3</f>
        <v>Sector Fuel Existing Transport Sector- Crude Oil</v>
      </c>
      <c r="M14" s="166" t="str">
        <f>$E$2</f>
        <v>PJ</v>
      </c>
      <c r="N14" s="166" t="str">
        <f>$E$2&amp;"a"</f>
        <v>PJa</v>
      </c>
      <c r="O14" s="166"/>
      <c r="P14" s="166"/>
      <c r="Q14" s="166"/>
    </row>
    <row r="15" spans="2:17" x14ac:dyDescent="0.2">
      <c r="B15" s="10"/>
      <c r="C15" s="10"/>
      <c r="D15" s="10"/>
      <c r="E15" s="149"/>
      <c r="F15" s="158"/>
      <c r="G15" s="159"/>
      <c r="I15" s="8"/>
      <c r="J15" s="8"/>
      <c r="K15" s="8"/>
      <c r="L15" s="30"/>
      <c r="M15" s="8"/>
      <c r="N15" s="8"/>
      <c r="O15" s="8"/>
      <c r="P15" s="8"/>
      <c r="Q15" s="8"/>
    </row>
    <row r="16" spans="2:17" x14ac:dyDescent="0.2">
      <c r="B16" s="10"/>
      <c r="C16" s="10"/>
      <c r="D16" s="10"/>
      <c r="E16" s="156"/>
      <c r="F16" s="157"/>
      <c r="G16" s="158"/>
      <c r="I16" s="8"/>
      <c r="J16" s="8"/>
      <c r="K16" s="8"/>
      <c r="L16" s="103"/>
      <c r="M16" s="8"/>
      <c r="N16" s="8"/>
      <c r="O16" s="8"/>
      <c r="P16" s="8"/>
      <c r="Q16" s="8"/>
    </row>
    <row r="17" spans="2:17" x14ac:dyDescent="0.2">
      <c r="I17" s="8"/>
      <c r="J17" s="8"/>
      <c r="O17" s="8"/>
      <c r="P17" s="8"/>
      <c r="Q17" s="8"/>
    </row>
    <row r="18" spans="2:17" x14ac:dyDescent="0.2">
      <c r="I18" s="8"/>
      <c r="J18" s="8"/>
      <c r="K18" s="8"/>
      <c r="L18" s="30"/>
      <c r="M18" s="8"/>
      <c r="N18" s="8"/>
      <c r="O18" s="8"/>
      <c r="P18" s="8"/>
      <c r="Q18" s="8"/>
    </row>
    <row r="19" spans="2:17" x14ac:dyDescent="0.2">
      <c r="B19" s="57"/>
      <c r="C19" s="1" t="s">
        <v>166</v>
      </c>
      <c r="I19" s="8"/>
      <c r="J19" s="8"/>
      <c r="K19" s="8"/>
      <c r="L19" s="103"/>
      <c r="M19" s="8"/>
      <c r="N19" s="8"/>
      <c r="O19" s="8"/>
      <c r="P19" s="8"/>
      <c r="Q19" s="8"/>
    </row>
    <row r="20" spans="2:17" x14ac:dyDescent="0.2">
      <c r="B20" s="94"/>
      <c r="C20" s="1" t="s">
        <v>167</v>
      </c>
      <c r="I20" s="8"/>
      <c r="J20" s="8"/>
      <c r="K20" s="8"/>
      <c r="L20" s="30"/>
      <c r="M20" s="8"/>
      <c r="N20" s="8"/>
      <c r="O20" s="8"/>
      <c r="P20" s="8"/>
      <c r="Q20" s="8"/>
    </row>
    <row r="21" spans="2:17" x14ac:dyDescent="0.2">
      <c r="I21" s="43"/>
      <c r="J21" s="42"/>
      <c r="K21" s="8"/>
      <c r="L21" s="30"/>
      <c r="M21" s="8"/>
      <c r="N21" s="8"/>
      <c r="O21" s="8"/>
      <c r="P21" s="8"/>
      <c r="Q21" s="8"/>
    </row>
    <row r="22" spans="2:17" x14ac:dyDescent="0.2">
      <c r="I22" s="43"/>
      <c r="J22" s="42"/>
      <c r="O22" s="8"/>
      <c r="P22" s="8"/>
      <c r="Q22" s="8"/>
    </row>
    <row r="23" spans="2:17" x14ac:dyDescent="0.2">
      <c r="I23" s="42"/>
      <c r="J23" s="42"/>
      <c r="O23" s="8"/>
      <c r="P23" s="8"/>
      <c r="Q23" s="8"/>
    </row>
    <row r="24" spans="2:17" x14ac:dyDescent="0.2">
      <c r="I24" s="48"/>
      <c r="J24" s="45"/>
      <c r="O24" s="8"/>
      <c r="P24" s="8"/>
      <c r="Q24" s="8"/>
    </row>
    <row r="25" spans="2:17" x14ac:dyDescent="0.2">
      <c r="I25" s="49"/>
      <c r="J25" s="49"/>
      <c r="O25" s="49"/>
      <c r="P25" s="49"/>
      <c r="Q25" s="8"/>
    </row>
    <row r="26" spans="2:17" x14ac:dyDescent="0.2">
      <c r="I26" s="8"/>
      <c r="J26" s="8"/>
      <c r="K26" s="8"/>
      <c r="L26" s="8"/>
      <c r="M26" s="8"/>
      <c r="N26" s="8"/>
      <c r="O26" s="8"/>
      <c r="P26" s="8"/>
      <c r="Q26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B4" sqref="B4:J8"/>
    </sheetView>
  </sheetViews>
  <sheetFormatPr defaultColWidth="8.85546875" defaultRowHeight="12.75" x14ac:dyDescent="0.2"/>
  <cols>
    <col min="1" max="1" width="3" style="42" customWidth="1"/>
    <col min="2" max="2" width="12.140625" style="42" bestFit="1" customWidth="1"/>
    <col min="3" max="3" width="15" style="42" customWidth="1"/>
    <col min="4" max="4" width="13.85546875" style="42" bestFit="1" customWidth="1"/>
    <col min="5" max="5" width="12.85546875" style="42" customWidth="1"/>
    <col min="6" max="6" width="13.140625" style="42" bestFit="1" customWidth="1"/>
    <col min="7" max="7" width="7.42578125" style="42" customWidth="1"/>
    <col min="8" max="8" width="9.28515625" style="42" bestFit="1" customWidth="1"/>
    <col min="9" max="9" width="9.42578125" style="42" customWidth="1"/>
    <col min="10" max="10" width="8.140625" style="42" customWidth="1"/>
    <col min="11" max="11" width="2.7109375" style="42" customWidth="1"/>
    <col min="12" max="12" width="12.7109375" style="42" bestFit="1" customWidth="1"/>
    <col min="13" max="13" width="7.140625" style="42" customWidth="1"/>
    <col min="14" max="14" width="11.42578125" style="42" bestFit="1" customWidth="1"/>
    <col min="15" max="15" width="41.5703125" style="42" bestFit="1" customWidth="1"/>
    <col min="16" max="16" width="7" style="42" customWidth="1"/>
    <col min="17" max="17" width="11.7109375" style="42" customWidth="1"/>
    <col min="18" max="18" width="12.85546875" style="42" customWidth="1"/>
    <col min="19" max="19" width="13.7109375" style="42" bestFit="1" customWidth="1"/>
    <col min="20" max="20" width="8.42578125" style="42" customWidth="1"/>
    <col min="21" max="16384" width="8.85546875" style="42"/>
  </cols>
  <sheetData>
    <row r="1" spans="2:20" ht="15" x14ac:dyDescent="0.25">
      <c r="B1" s="15" t="s">
        <v>94</v>
      </c>
      <c r="C1" s="15" t="s">
        <v>96</v>
      </c>
      <c r="D1" s="15" t="s">
        <v>152</v>
      </c>
      <c r="E1" s="15" t="s">
        <v>98</v>
      </c>
      <c r="F1" s="15" t="s">
        <v>99</v>
      </c>
      <c r="I1" s="15" t="s">
        <v>126</v>
      </c>
    </row>
    <row r="2" spans="2:20" ht="31.5" x14ac:dyDescent="0.25">
      <c r="B2" s="17" t="str">
        <f>EnergyBalance!B8</f>
        <v>TPS</v>
      </c>
      <c r="C2" s="29" t="str">
        <f>EnergyBalance!C8</f>
        <v>Total Primary Supply</v>
      </c>
      <c r="D2" s="29" t="str">
        <f>"Demand Technology"</f>
        <v>Demand Technology</v>
      </c>
      <c r="E2" s="17" t="str">
        <f>EnergyBalance!R2</f>
        <v>PJ</v>
      </c>
      <c r="F2" s="17" t="str">
        <f>EnergyBalance!Q2</f>
        <v>M€2005</v>
      </c>
      <c r="I2" s="17" t="s">
        <v>127</v>
      </c>
      <c r="L2" s="171" t="s">
        <v>14</v>
      </c>
      <c r="M2" s="171"/>
      <c r="N2" s="172"/>
      <c r="O2" s="172"/>
      <c r="P2" s="172"/>
      <c r="Q2" s="172"/>
      <c r="R2" s="172"/>
      <c r="S2" s="172"/>
      <c r="T2" s="172"/>
    </row>
    <row r="3" spans="2:20" x14ac:dyDescent="0.2">
      <c r="L3" s="173" t="s">
        <v>7</v>
      </c>
      <c r="M3" s="174" t="s">
        <v>30</v>
      </c>
      <c r="N3" s="173" t="s">
        <v>0</v>
      </c>
      <c r="O3" s="173" t="s">
        <v>3</v>
      </c>
      <c r="P3" s="173" t="s">
        <v>4</v>
      </c>
      <c r="Q3" s="173" t="s">
        <v>8</v>
      </c>
      <c r="R3" s="173" t="s">
        <v>9</v>
      </c>
      <c r="S3" s="173" t="s">
        <v>10</v>
      </c>
      <c r="T3" s="173" t="s">
        <v>12</v>
      </c>
    </row>
    <row r="4" spans="2:20" s="112" customFormat="1" ht="24" thickBot="1" x14ac:dyDescent="0.3">
      <c r="B4" s="16"/>
      <c r="C4" s="16"/>
      <c r="D4" s="16"/>
      <c r="E4" s="16"/>
      <c r="F4" s="16"/>
      <c r="L4" s="164" t="s">
        <v>40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43</v>
      </c>
      <c r="R4" s="164" t="s">
        <v>44</v>
      </c>
      <c r="S4" s="164" t="s">
        <v>28</v>
      </c>
      <c r="T4" s="164" t="s">
        <v>29</v>
      </c>
    </row>
    <row r="5" spans="2:20" s="112" customFormat="1" ht="15.75" x14ac:dyDescent="0.25">
      <c r="B5" s="16"/>
      <c r="C5" s="16"/>
      <c r="D5" s="16"/>
      <c r="E5" s="16"/>
      <c r="F5" s="16"/>
      <c r="L5" s="175" t="s">
        <v>105</v>
      </c>
      <c r="M5" s="176"/>
      <c r="N5" s="175" t="str">
        <f>B2&amp;EnergyBalance!D2</f>
        <v>TPSCOA</v>
      </c>
      <c r="O5" s="175" t="str">
        <f>LEFT($D$2,6)&amp;" "&amp;$C$2&amp;" - "&amp;EnergyBalance!D2</f>
        <v>Demand Total Primary Supply - COA</v>
      </c>
      <c r="P5" s="175" t="str">
        <f>$E$2</f>
        <v>PJ</v>
      </c>
      <c r="Q5" s="175"/>
      <c r="R5" s="175"/>
      <c r="S5" s="175"/>
      <c r="T5" s="175"/>
    </row>
    <row r="8" spans="2:20" x14ac:dyDescent="0.2">
      <c r="D8" s="6" t="s">
        <v>13</v>
      </c>
      <c r="E8" s="6"/>
      <c r="F8" s="6"/>
      <c r="H8" s="6"/>
      <c r="I8" s="7"/>
      <c r="J8" s="5"/>
      <c r="L8" s="171" t="s">
        <v>15</v>
      </c>
      <c r="M8" s="171"/>
      <c r="N8" s="177"/>
      <c r="O8" s="177"/>
      <c r="P8" s="177"/>
      <c r="Q8" s="177"/>
      <c r="R8" s="177"/>
      <c r="S8" s="177"/>
      <c r="T8" s="177"/>
    </row>
    <row r="9" spans="2:20" x14ac:dyDescent="0.2">
      <c r="B9" s="24" t="s">
        <v>1</v>
      </c>
      <c r="C9" s="24" t="s">
        <v>5</v>
      </c>
      <c r="D9" s="24" t="s">
        <v>6</v>
      </c>
      <c r="E9" s="107" t="s">
        <v>174</v>
      </c>
      <c r="F9" s="108" t="s">
        <v>108</v>
      </c>
      <c r="G9" s="108" t="s">
        <v>124</v>
      </c>
      <c r="H9" s="108" t="s">
        <v>106</v>
      </c>
      <c r="I9" s="108" t="s">
        <v>107</v>
      </c>
      <c r="J9" s="107" t="s">
        <v>101</v>
      </c>
      <c r="L9" s="173" t="s">
        <v>11</v>
      </c>
      <c r="M9" s="174" t="s">
        <v>30</v>
      </c>
      <c r="N9" s="173" t="s">
        <v>1</v>
      </c>
      <c r="O9" s="173" t="s">
        <v>2</v>
      </c>
      <c r="P9" s="173" t="s">
        <v>16</v>
      </c>
      <c r="Q9" s="173" t="s">
        <v>17</v>
      </c>
      <c r="R9" s="173" t="s">
        <v>18</v>
      </c>
      <c r="S9" s="173" t="s">
        <v>19</v>
      </c>
      <c r="T9" s="173" t="s">
        <v>20</v>
      </c>
    </row>
    <row r="10" spans="2:20" ht="23.25" thickBot="1" x14ac:dyDescent="0.25">
      <c r="B10" s="22" t="s">
        <v>42</v>
      </c>
      <c r="C10" s="22" t="s">
        <v>32</v>
      </c>
      <c r="D10" s="22" t="s">
        <v>33</v>
      </c>
      <c r="E10" s="22" t="s">
        <v>34</v>
      </c>
      <c r="F10" s="22" t="s">
        <v>113</v>
      </c>
      <c r="G10" s="144" t="s">
        <v>125</v>
      </c>
      <c r="H10" s="22" t="s">
        <v>122</v>
      </c>
      <c r="I10" s="22" t="s">
        <v>121</v>
      </c>
      <c r="J10" s="22" t="s">
        <v>181</v>
      </c>
      <c r="L10" s="164" t="s">
        <v>41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46</v>
      </c>
      <c r="S10" s="164" t="s">
        <v>45</v>
      </c>
      <c r="T10" s="164" t="s">
        <v>25</v>
      </c>
    </row>
    <row r="11" spans="2:20" ht="13.5" thickBot="1" x14ac:dyDescent="0.25">
      <c r="B11" s="21" t="s">
        <v>114</v>
      </c>
      <c r="C11" s="21"/>
      <c r="D11" s="21"/>
      <c r="E11" s="19" t="str">
        <f>E2&amp;"a"</f>
        <v>PJa</v>
      </c>
      <c r="F11" s="19"/>
      <c r="G11" s="109"/>
      <c r="H11" s="19" t="str">
        <f>$F$2&amp;"/"&amp;$E$2</f>
        <v>M€2005/PJ</v>
      </c>
      <c r="I11" s="19" t="str">
        <f>$F$2&amp;"/"&amp;$E$2&amp;"a"</f>
        <v>M€2005/PJa</v>
      </c>
      <c r="J11" s="19" t="s">
        <v>115</v>
      </c>
      <c r="L11" s="164" t="s">
        <v>103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s="42" t="str">
        <f>N12</f>
        <v>DTPSCOA</v>
      </c>
      <c r="C12" s="42" t="str">
        <f>RIGHT(B12,3)</f>
        <v>COA</v>
      </c>
      <c r="D12" s="42" t="str">
        <f>$N$5</f>
        <v>TPSCOA</v>
      </c>
      <c r="E12" s="112"/>
      <c r="F12" s="114">
        <v>1</v>
      </c>
      <c r="G12" s="114">
        <v>0.95</v>
      </c>
      <c r="H12" s="115">
        <v>10</v>
      </c>
      <c r="I12" s="114">
        <f>H12*0.02</f>
        <v>0.2</v>
      </c>
      <c r="J12" s="115">
        <v>20</v>
      </c>
      <c r="L12" s="175" t="s">
        <v>123</v>
      </c>
      <c r="M12" s="176"/>
      <c r="N12" s="176" t="str">
        <f>LEFT(L12,1)&amp;B2&amp;RIGHT(O12,3)</f>
        <v>DTPSCOA</v>
      </c>
      <c r="O12" s="178" t="str">
        <f>$D$2&amp;" "&amp;$C$2&amp;" - "&amp;EnergyBalance!D2</f>
        <v>Demand Technology Total Primary Supply - COA</v>
      </c>
      <c r="P12" s="176" t="str">
        <f>$E$2</f>
        <v>PJ</v>
      </c>
      <c r="Q12" s="176" t="str">
        <f>$E$2&amp;"a"</f>
        <v>PJa</v>
      </c>
      <c r="R12" s="176"/>
      <c r="S12" s="176"/>
      <c r="T12" s="176"/>
    </row>
    <row r="13" spans="2:20" x14ac:dyDescent="0.2">
      <c r="D13" s="112"/>
      <c r="E13" s="117"/>
      <c r="F13" s="118"/>
      <c r="G13" s="118"/>
      <c r="H13" s="112"/>
      <c r="I13" s="118"/>
      <c r="J13" s="112"/>
      <c r="L13" s="113"/>
      <c r="M13" s="112"/>
      <c r="N13" s="112"/>
      <c r="O13" s="116"/>
      <c r="P13" s="112"/>
      <c r="Q13" s="112"/>
      <c r="R13" s="112"/>
      <c r="S13" s="112"/>
      <c r="T13" s="112"/>
    </row>
    <row r="14" spans="2:20" x14ac:dyDescent="0.2">
      <c r="B14" s="45"/>
      <c r="D14" s="45"/>
      <c r="E14" s="119"/>
      <c r="F14" s="120"/>
      <c r="G14" s="120"/>
      <c r="H14" s="44"/>
      <c r="I14" s="120"/>
      <c r="J14" s="44"/>
      <c r="L14" s="112"/>
      <c r="M14" s="112"/>
      <c r="N14" s="112"/>
      <c r="O14" s="121"/>
      <c r="P14" s="112"/>
      <c r="Q14" s="112"/>
      <c r="R14" s="112"/>
      <c r="S14" s="112"/>
      <c r="T14" s="112"/>
    </row>
    <row r="15" spans="2:20" x14ac:dyDescent="0.2">
      <c r="E15" s="119"/>
      <c r="F15" s="120"/>
      <c r="G15" s="120"/>
      <c r="H15" s="44"/>
      <c r="I15" s="120"/>
      <c r="J15" s="44"/>
      <c r="L15" s="112"/>
      <c r="M15" s="112"/>
      <c r="N15" s="112"/>
      <c r="O15" s="121"/>
      <c r="P15" s="112"/>
      <c r="Q15" s="112"/>
      <c r="R15" s="112"/>
      <c r="S15" s="112"/>
      <c r="T15" s="112"/>
    </row>
    <row r="16" spans="2:20" x14ac:dyDescent="0.2">
      <c r="F16" s="112"/>
      <c r="G16" s="112"/>
      <c r="H16" s="112"/>
      <c r="I16" s="112"/>
      <c r="J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2:20" x14ac:dyDescent="0.2">
      <c r="B17" s="115"/>
      <c r="C17" s="43" t="s">
        <v>166</v>
      </c>
      <c r="F17" s="112"/>
      <c r="G17" s="112"/>
      <c r="H17" s="112"/>
      <c r="I17" s="112"/>
      <c r="J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2:20" x14ac:dyDescent="0.2">
      <c r="B18" s="123"/>
      <c r="C18" s="43" t="s">
        <v>167</v>
      </c>
      <c r="I18" s="12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2:20" x14ac:dyDescent="0.2">
      <c r="I19" s="12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2:20" x14ac:dyDescent="0.2">
      <c r="L20" s="112"/>
      <c r="M20" s="112"/>
      <c r="N20" s="112"/>
      <c r="O20" s="112"/>
      <c r="P20" s="112"/>
      <c r="Q20" s="112"/>
      <c r="R20" s="112"/>
      <c r="S20" s="112"/>
      <c r="T20" s="112"/>
    </row>
    <row r="21" spans="2:20" x14ac:dyDescent="0.2">
      <c r="L21" s="112"/>
      <c r="M21" s="112"/>
      <c r="N21" s="112"/>
      <c r="O21" s="112"/>
      <c r="P21" s="112"/>
      <c r="Q21" s="112"/>
      <c r="R21" s="112"/>
      <c r="S21" s="112"/>
      <c r="T21" s="112"/>
    </row>
    <row r="22" spans="2:20" x14ac:dyDescent="0.2">
      <c r="L22" s="112"/>
      <c r="M22" s="112"/>
      <c r="N22" s="112"/>
      <c r="O22" s="112"/>
      <c r="P22" s="112"/>
      <c r="Q22" s="112"/>
      <c r="R22" s="112"/>
      <c r="S22" s="112"/>
      <c r="T22" s="112"/>
    </row>
    <row r="25" spans="2:20" x14ac:dyDescent="0.2">
      <c r="K25" s="43"/>
    </row>
    <row r="26" spans="2:20" x14ac:dyDescent="0.2">
      <c r="K26" s="43"/>
    </row>
    <row r="27" spans="2:20" x14ac:dyDescent="0.2">
      <c r="K27" s="43"/>
    </row>
    <row r="28" spans="2:20" x14ac:dyDescent="0.2">
      <c r="K28" s="43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topLeftCell="B1" zoomScaleNormal="100" workbookViewId="0">
      <selection activeCell="B4" sqref="B4:L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customWidth="1"/>
    <col min="4" max="4" width="13.85546875" bestFit="1" customWidth="1"/>
    <col min="5" max="5" width="12.28515625" customWidth="1"/>
    <col min="6" max="6" width="12.140625" bestFit="1" customWidth="1"/>
    <col min="7" max="7" width="7.42578125" bestFit="1" customWidth="1"/>
    <col min="8" max="8" width="9.140625" bestFit="1" customWidth="1"/>
    <col min="9" max="9" width="9.140625" customWidth="1"/>
    <col min="10" max="10" width="8.140625" customWidth="1"/>
    <col min="11" max="11" width="7.140625" customWidth="1"/>
    <col min="12" max="12" width="12.5703125" bestFit="1" customWidth="1"/>
    <col min="13" max="13" width="2.7109375" customWidth="1"/>
    <col min="14" max="14" width="11.85546875" bestFit="1" customWidth="1"/>
    <col min="15" max="15" width="7.42578125" bestFit="1" customWidth="1"/>
    <col min="16" max="16" width="12.140625" bestFit="1" customWidth="1"/>
    <col min="17" max="17" width="62.42578125" bestFit="1" customWidth="1"/>
    <col min="18" max="18" width="6.140625" bestFit="1" customWidth="1"/>
    <col min="19" max="19" width="10.42578125" bestFit="1" customWidth="1"/>
    <col min="20" max="20" width="12.85546875" bestFit="1" customWidth="1"/>
    <col min="21" max="21" width="14.140625" bestFit="1" customWidth="1"/>
    <col min="22" max="22" width="8" bestFit="1" customWidth="1"/>
  </cols>
  <sheetData>
    <row r="1" spans="2:22" ht="30" x14ac:dyDescent="0.25">
      <c r="B1" s="39" t="s">
        <v>94</v>
      </c>
      <c r="C1" s="39" t="s">
        <v>96</v>
      </c>
      <c r="D1" s="39" t="s">
        <v>152</v>
      </c>
      <c r="E1" s="39" t="s">
        <v>98</v>
      </c>
      <c r="F1" s="39" t="s">
        <v>99</v>
      </c>
      <c r="G1" s="26"/>
      <c r="I1" s="39" t="s">
        <v>126</v>
      </c>
      <c r="J1" s="39" t="s">
        <v>173</v>
      </c>
    </row>
    <row r="2" spans="2:22" ht="31.5" x14ac:dyDescent="0.25">
      <c r="B2" s="17" t="str">
        <f>EnergyBalance!B16</f>
        <v>RSD</v>
      </c>
      <c r="C2" s="17" t="str">
        <f>EnergyBalance!C16</f>
        <v>Residential</v>
      </c>
      <c r="D2" s="29" t="str">
        <f>"Demand Technologies"</f>
        <v>Demand Technologies</v>
      </c>
      <c r="E2" s="17" t="str">
        <f>EnergyBalance!R2</f>
        <v>PJ</v>
      </c>
      <c r="F2" s="17" t="str">
        <f>EnergyBalance!Q2</f>
        <v>M€2005</v>
      </c>
      <c r="I2" s="17" t="s">
        <v>127</v>
      </c>
      <c r="J2" s="17" t="s">
        <v>128</v>
      </c>
      <c r="N2" s="160" t="s">
        <v>14</v>
      </c>
      <c r="O2" s="160"/>
      <c r="P2" s="161"/>
      <c r="Q2" s="161"/>
      <c r="R2" s="161"/>
      <c r="S2" s="161"/>
      <c r="T2" s="161"/>
      <c r="U2" s="161"/>
      <c r="V2" s="161"/>
    </row>
    <row r="3" spans="2:22" x14ac:dyDescent="0.2">
      <c r="N3" s="162" t="s">
        <v>7</v>
      </c>
      <c r="O3" s="163" t="s">
        <v>30</v>
      </c>
      <c r="P3" s="162" t="s">
        <v>0</v>
      </c>
      <c r="Q3" s="162" t="s">
        <v>3</v>
      </c>
      <c r="R3" s="162" t="s">
        <v>4</v>
      </c>
      <c r="S3" s="162" t="s">
        <v>8</v>
      </c>
      <c r="T3" s="162" t="s">
        <v>9</v>
      </c>
      <c r="U3" s="162" t="s">
        <v>10</v>
      </c>
      <c r="V3" s="162" t="s">
        <v>12</v>
      </c>
    </row>
    <row r="4" spans="2:22" s="8" customFormat="1" ht="24" thickBot="1" x14ac:dyDescent="0.3">
      <c r="B4" s="16"/>
      <c r="C4" s="16"/>
      <c r="D4" s="16"/>
      <c r="E4" s="16"/>
      <c r="F4" s="16"/>
      <c r="N4" s="164" t="s">
        <v>40</v>
      </c>
      <c r="O4" s="164" t="s">
        <v>31</v>
      </c>
      <c r="P4" s="164" t="s">
        <v>26</v>
      </c>
      <c r="Q4" s="164" t="s">
        <v>27</v>
      </c>
      <c r="R4" s="164" t="s">
        <v>4</v>
      </c>
      <c r="S4" s="164" t="s">
        <v>43</v>
      </c>
      <c r="T4" s="164" t="s">
        <v>44</v>
      </c>
      <c r="U4" s="164" t="s">
        <v>28</v>
      </c>
      <c r="V4" s="164" t="s">
        <v>29</v>
      </c>
    </row>
    <row r="5" spans="2:22" s="8" customFormat="1" ht="15.75" x14ac:dyDescent="0.25">
      <c r="B5" s="16"/>
      <c r="C5" s="16"/>
      <c r="D5" s="16"/>
      <c r="E5" s="16"/>
      <c r="F5" s="16"/>
      <c r="N5" s="165" t="s">
        <v>105</v>
      </c>
      <c r="O5" s="166"/>
      <c r="P5" s="165" t="str">
        <f>LEFT($N$5,1)&amp;LEFT(B2,1)&amp;EnergyBalance!$C$44</f>
        <v>DROT</v>
      </c>
      <c r="Q5" s="165" t="str">
        <f>LEFT($D$2,6)&amp;" "&amp;$C$2&amp; " Sector - "&amp;EnergyBalance!$N$44</f>
        <v>Demand Residential Sector - Other</v>
      </c>
      <c r="R5" s="165" t="str">
        <f>$E$2</f>
        <v>PJ</v>
      </c>
      <c r="S5" s="165"/>
      <c r="T5" s="165"/>
      <c r="U5" s="165"/>
      <c r="V5" s="165"/>
    </row>
    <row r="6" spans="2:22" x14ac:dyDescent="0.2">
      <c r="N6" s="167" t="s">
        <v>143</v>
      </c>
      <c r="O6" s="167"/>
      <c r="P6" s="167" t="str">
        <f>$B$2&amp;EnergyBalance!$C$52</f>
        <v>RSDCO2</v>
      </c>
      <c r="Q6" s="167" t="str">
        <f>$C$2&amp;" "&amp;EnergyBalance!$C$53</f>
        <v>Residential Carbon dioxide</v>
      </c>
      <c r="R6" s="167" t="str">
        <f>EnergyBalance!$S$2</f>
        <v>kt</v>
      </c>
      <c r="S6" s="167"/>
      <c r="T6" s="167"/>
      <c r="U6" s="167"/>
      <c r="V6" s="167"/>
    </row>
    <row r="8" spans="2:22" x14ac:dyDescent="0.2">
      <c r="D8" s="6" t="s">
        <v>13</v>
      </c>
      <c r="E8" s="6"/>
      <c r="F8" s="6"/>
      <c r="H8" s="6"/>
      <c r="I8" s="7"/>
      <c r="J8" s="5"/>
      <c r="K8" s="20"/>
      <c r="N8" s="160" t="s">
        <v>15</v>
      </c>
      <c r="O8" s="160"/>
      <c r="P8" s="167"/>
      <c r="Q8" s="167"/>
      <c r="R8" s="167"/>
      <c r="S8" s="167"/>
      <c r="T8" s="167"/>
      <c r="U8" s="167"/>
      <c r="V8" s="167"/>
    </row>
    <row r="9" spans="2:22" x14ac:dyDescent="0.2">
      <c r="B9" s="24" t="s">
        <v>1</v>
      </c>
      <c r="C9" s="24" t="s">
        <v>5</v>
      </c>
      <c r="D9" s="24" t="s">
        <v>6</v>
      </c>
      <c r="E9" s="107" t="s">
        <v>174</v>
      </c>
      <c r="F9" s="108" t="s">
        <v>108</v>
      </c>
      <c r="G9" s="108" t="s">
        <v>124</v>
      </c>
      <c r="H9" s="108" t="s">
        <v>106</v>
      </c>
      <c r="I9" s="108" t="s">
        <v>107</v>
      </c>
      <c r="J9" s="107" t="s">
        <v>101</v>
      </c>
      <c r="K9" s="107" t="s">
        <v>172</v>
      </c>
      <c r="L9" s="107" t="s">
        <v>129</v>
      </c>
      <c r="N9" s="162" t="s">
        <v>11</v>
      </c>
      <c r="O9" s="163" t="s">
        <v>30</v>
      </c>
      <c r="P9" s="162" t="s">
        <v>1</v>
      </c>
      <c r="Q9" s="162" t="s">
        <v>2</v>
      </c>
      <c r="R9" s="162" t="s">
        <v>16</v>
      </c>
      <c r="S9" s="162" t="s">
        <v>17</v>
      </c>
      <c r="T9" s="162" t="s">
        <v>18</v>
      </c>
      <c r="U9" s="162" t="s">
        <v>19</v>
      </c>
      <c r="V9" s="162" t="s">
        <v>20</v>
      </c>
    </row>
    <row r="10" spans="2:22" ht="23.25" thickBot="1" x14ac:dyDescent="0.25">
      <c r="B10" s="145" t="s">
        <v>42</v>
      </c>
      <c r="C10" s="145" t="s">
        <v>32</v>
      </c>
      <c r="D10" s="145" t="s">
        <v>33</v>
      </c>
      <c r="E10" s="145" t="s">
        <v>34</v>
      </c>
      <c r="F10" s="145" t="s">
        <v>113</v>
      </c>
      <c r="G10" s="146" t="s">
        <v>125</v>
      </c>
      <c r="H10" s="145" t="s">
        <v>122</v>
      </c>
      <c r="I10" s="145" t="s">
        <v>121</v>
      </c>
      <c r="J10" s="145" t="s">
        <v>181</v>
      </c>
      <c r="K10" s="145" t="s">
        <v>179</v>
      </c>
      <c r="L10" s="145" t="s">
        <v>142</v>
      </c>
      <c r="N10" s="164" t="s">
        <v>41</v>
      </c>
      <c r="O10" s="164" t="s">
        <v>31</v>
      </c>
      <c r="P10" s="164" t="s">
        <v>21</v>
      </c>
      <c r="Q10" s="164" t="s">
        <v>22</v>
      </c>
      <c r="R10" s="164" t="s">
        <v>23</v>
      </c>
      <c r="S10" s="164" t="s">
        <v>24</v>
      </c>
      <c r="T10" s="164" t="s">
        <v>46</v>
      </c>
      <c r="U10" s="164" t="s">
        <v>45</v>
      </c>
      <c r="V10" s="164" t="s">
        <v>25</v>
      </c>
    </row>
    <row r="11" spans="2:22" ht="23.25" thickBot="1" x14ac:dyDescent="0.25">
      <c r="B11" s="21" t="s">
        <v>114</v>
      </c>
      <c r="C11" s="21"/>
      <c r="D11" s="21"/>
      <c r="E11" s="19" t="str">
        <f>E2&amp;"a"</f>
        <v>PJa</v>
      </c>
      <c r="F11" s="19"/>
      <c r="G11" s="109"/>
      <c r="H11" s="19" t="str">
        <f>$F$2&amp;"/"&amp;$E$2</f>
        <v>M€2005/PJ</v>
      </c>
      <c r="I11" s="19" t="str">
        <f>$F$2&amp;"/"&amp;$E$2&amp;"a"</f>
        <v>M€2005/PJa</v>
      </c>
      <c r="J11" s="19" t="s">
        <v>115</v>
      </c>
      <c r="K11" s="19" t="s">
        <v>156</v>
      </c>
      <c r="L11" s="19" t="str">
        <f>EnergyBalance!$S$2&amp;"/"&amp;E2</f>
        <v>kt/PJ</v>
      </c>
      <c r="N11" s="164" t="s">
        <v>103</v>
      </c>
      <c r="O11" s="164"/>
      <c r="P11" s="164"/>
      <c r="Q11" s="164"/>
      <c r="R11" s="164"/>
      <c r="S11" s="164"/>
      <c r="T11" s="164"/>
      <c r="U11" s="164"/>
      <c r="V11" s="164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93">
        <f>EnergyBalance!E16/$G$12*1.01</f>
        <v>5485.6746631578944</v>
      </c>
      <c r="F12" s="97">
        <v>1</v>
      </c>
      <c r="G12" s="97">
        <v>0.95</v>
      </c>
      <c r="H12" s="99"/>
      <c r="I12" s="97">
        <v>0.24</v>
      </c>
      <c r="J12" s="57">
        <v>10</v>
      </c>
      <c r="N12" s="165" t="s">
        <v>123</v>
      </c>
      <c r="O12" s="166"/>
      <c r="P12" s="166" t="str">
        <f>LEFT(EnergyBalance!$B$16)&amp;EnergyBalance!$C$44&amp;$I$2&amp;EnergyBalance!E2</f>
        <v>ROTEGAS</v>
      </c>
      <c r="Q12" s="170" t="str">
        <f>$D$2&amp;" "&amp;$C$2&amp; " Sector - "&amp;" "&amp;$I$1&amp;" "&amp;EnergyBalance!$N$44&amp;" - "&amp;EnergyBalance!$E$3</f>
        <v>Demand Technologies Residential Sector -  Existing Other - Natural Gas</v>
      </c>
      <c r="R12" s="166" t="str">
        <f>$E$2</f>
        <v>PJ</v>
      </c>
      <c r="S12" s="166" t="str">
        <f>$E$2&amp;"a"</f>
        <v>PJa</v>
      </c>
      <c r="T12" s="166"/>
      <c r="U12" s="166"/>
      <c r="V12" s="166"/>
    </row>
    <row r="13" spans="2:22" x14ac:dyDescent="0.2">
      <c r="D13" t="str">
        <f>$P$6</f>
        <v>RSDCO2</v>
      </c>
      <c r="E13" s="12"/>
      <c r="F13" s="23"/>
      <c r="G13" s="23"/>
      <c r="I13" s="23"/>
      <c r="L13" s="57">
        <f>56.1/F12</f>
        <v>56.1</v>
      </c>
      <c r="N13" s="165"/>
      <c r="O13" s="166"/>
      <c r="P13" s="166" t="str">
        <f>LEFT(EnergyBalance!$B$16)&amp;EnergyBalance!$C$44&amp;$J$2&amp;EnergyBalance!E2</f>
        <v>ROTNGAS</v>
      </c>
      <c r="Q13" s="170" t="str">
        <f>$D$2&amp;" "&amp;$C$2&amp; " Sector - "&amp;" "&amp;$J$1&amp;" "&amp;EnergyBalance!$N$44&amp;" - "&amp;EnergyBalance!$E$3</f>
        <v>Demand Technologies Residential Sector -  New Other - Natural Gas</v>
      </c>
      <c r="R13" s="166" t="str">
        <f>$E$2</f>
        <v>PJ</v>
      </c>
      <c r="S13" s="166" t="str">
        <f>$E$2&amp;"a"</f>
        <v>PJa</v>
      </c>
      <c r="T13" s="166"/>
      <c r="U13" s="166"/>
      <c r="V13" s="166"/>
    </row>
    <row r="14" spans="2:22" x14ac:dyDescent="0.2">
      <c r="B14" s="10" t="str">
        <f>P13</f>
        <v>ROTNGAS</v>
      </c>
      <c r="C14" t="str">
        <f>$B$2&amp;RIGHT(B14,3)</f>
        <v>RSDGAS</v>
      </c>
      <c r="D14" s="10" t="str">
        <f>$P$5</f>
        <v>DROT</v>
      </c>
      <c r="E14" s="27"/>
      <c r="F14" s="99">
        <v>1.2</v>
      </c>
      <c r="G14" s="99">
        <v>0.95</v>
      </c>
      <c r="H14" s="104">
        <v>12</v>
      </c>
      <c r="I14" s="99">
        <f>H14*0.02</f>
        <v>0.24</v>
      </c>
      <c r="J14" s="104">
        <v>20</v>
      </c>
      <c r="K14" s="100">
        <v>2006</v>
      </c>
      <c r="N14" s="8"/>
      <c r="O14" s="8"/>
      <c r="P14" s="8"/>
      <c r="Q14" s="30"/>
      <c r="R14" s="8"/>
      <c r="S14" s="8"/>
      <c r="T14" s="8"/>
      <c r="U14" s="8"/>
      <c r="V14" s="8"/>
    </row>
    <row r="15" spans="2:22" x14ac:dyDescent="0.2">
      <c r="B15" s="10"/>
      <c r="D15" t="str">
        <f>$P$6</f>
        <v>RSDCO2</v>
      </c>
      <c r="E15" s="27"/>
      <c r="F15" s="28"/>
      <c r="G15" s="28"/>
      <c r="H15" s="10"/>
      <c r="I15" s="28"/>
      <c r="J15" s="10"/>
      <c r="K15" s="27"/>
      <c r="L15" s="152">
        <f>56.1/F14</f>
        <v>46.75</v>
      </c>
      <c r="N15" s="8"/>
      <c r="O15" s="8"/>
      <c r="P15" s="8"/>
      <c r="Q15" s="30"/>
      <c r="R15" s="8"/>
      <c r="S15" s="8"/>
      <c r="T15" s="8"/>
      <c r="U15" s="8"/>
      <c r="V15" s="8"/>
    </row>
    <row r="16" spans="2:22" x14ac:dyDescent="0.2"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"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">
      <c r="I18" s="20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">
      <c r="I19" s="20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"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"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"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">
      <c r="B23" s="57"/>
      <c r="C23" s="1" t="s">
        <v>166</v>
      </c>
    </row>
    <row r="24" spans="2:22" x14ac:dyDescent="0.2">
      <c r="B24" s="94"/>
      <c r="C24" s="1" t="s">
        <v>167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topLeftCell="B1" zoomScaleNormal="100" workbookViewId="0">
      <selection activeCell="J28" sqref="J28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customWidth="1"/>
    <col min="6" max="6" width="12.140625" bestFit="1" customWidth="1"/>
    <col min="7" max="7" width="10.5703125" bestFit="1" customWidth="1"/>
    <col min="8" max="8" width="9.140625" bestFit="1" customWidth="1"/>
    <col min="9" max="9" width="9.140625" customWidth="1"/>
    <col min="10" max="10" width="8.140625" customWidth="1"/>
    <col min="11" max="11" width="7.140625" customWidth="1"/>
    <col min="12" max="12" width="12.5703125" bestFit="1" customWidth="1"/>
    <col min="13" max="13" width="2.7109375" customWidth="1"/>
    <col min="14" max="14" width="11.85546875" bestFit="1" customWidth="1"/>
    <col min="15" max="15" width="7.42578125" bestFit="1" customWidth="1"/>
    <col min="16" max="16" width="12.140625" bestFit="1" customWidth="1"/>
    <col min="17" max="17" width="72.140625" bestFit="1" customWidth="1"/>
    <col min="18" max="18" width="6.140625" bestFit="1" customWidth="1"/>
    <col min="19" max="19" width="10.42578125" bestFit="1" customWidth="1"/>
    <col min="20" max="20" width="12.85546875" bestFit="1" customWidth="1"/>
    <col min="21" max="21" width="14.140625" bestFit="1" customWidth="1"/>
    <col min="22" max="22" width="8" bestFit="1" customWidth="1"/>
  </cols>
  <sheetData>
    <row r="1" spans="2:22" ht="30" x14ac:dyDescent="0.25">
      <c r="B1" s="39" t="s">
        <v>94</v>
      </c>
      <c r="C1" s="39" t="s">
        <v>96</v>
      </c>
      <c r="D1" s="39" t="s">
        <v>152</v>
      </c>
      <c r="E1" s="39" t="s">
        <v>98</v>
      </c>
      <c r="F1" s="39" t="s">
        <v>99</v>
      </c>
      <c r="G1" s="39" t="s">
        <v>160</v>
      </c>
      <c r="I1" s="39" t="s">
        <v>126</v>
      </c>
      <c r="J1" s="39" t="s">
        <v>173</v>
      </c>
    </row>
    <row r="2" spans="2:22" ht="31.5" x14ac:dyDescent="0.25">
      <c r="B2" s="17" t="str">
        <f>EnergyBalance!B20</f>
        <v>TRA</v>
      </c>
      <c r="C2" s="17" t="str">
        <f>EnergyBalance!C20</f>
        <v>Transport</v>
      </c>
      <c r="D2" s="29" t="s">
        <v>153</v>
      </c>
      <c r="E2" s="17" t="str">
        <f>EnergyBalance!R2</f>
        <v>PJ</v>
      </c>
      <c r="F2" s="17" t="str">
        <f>EnergyBalance!Q2</f>
        <v>M€2005</v>
      </c>
      <c r="G2" s="17" t="s">
        <v>161</v>
      </c>
      <c r="I2" s="17" t="s">
        <v>127</v>
      </c>
      <c r="J2" s="17" t="s">
        <v>128</v>
      </c>
      <c r="N2" s="160" t="s">
        <v>14</v>
      </c>
      <c r="O2" s="160"/>
      <c r="P2" s="161"/>
      <c r="Q2" s="161"/>
      <c r="R2" s="161"/>
      <c r="S2" s="161"/>
      <c r="T2" s="161"/>
      <c r="U2" s="161"/>
      <c r="V2" s="161"/>
    </row>
    <row r="3" spans="2:22" x14ac:dyDescent="0.2">
      <c r="N3" s="162" t="s">
        <v>7</v>
      </c>
      <c r="O3" s="163" t="s">
        <v>30</v>
      </c>
      <c r="P3" s="162" t="s">
        <v>0</v>
      </c>
      <c r="Q3" s="162" t="s">
        <v>3</v>
      </c>
      <c r="R3" s="162" t="s">
        <v>4</v>
      </c>
      <c r="S3" s="162" t="s">
        <v>8</v>
      </c>
      <c r="T3" s="162" t="s">
        <v>9</v>
      </c>
      <c r="U3" s="162" t="s">
        <v>10</v>
      </c>
      <c r="V3" s="162" t="s">
        <v>12</v>
      </c>
    </row>
    <row r="4" spans="2:22" s="8" customFormat="1" ht="23.25" thickBot="1" x14ac:dyDescent="0.25">
      <c r="N4" s="164" t="s">
        <v>40</v>
      </c>
      <c r="O4" s="164" t="s">
        <v>31</v>
      </c>
      <c r="P4" s="164" t="s">
        <v>26</v>
      </c>
      <c r="Q4" s="164" t="s">
        <v>27</v>
      </c>
      <c r="R4" s="164" t="s">
        <v>4</v>
      </c>
      <c r="S4" s="164" t="s">
        <v>43</v>
      </c>
      <c r="T4" s="164" t="s">
        <v>44</v>
      </c>
      <c r="U4" s="164" t="s">
        <v>28</v>
      </c>
      <c r="V4" s="164" t="s">
        <v>29</v>
      </c>
    </row>
    <row r="5" spans="2:22" s="8" customFormat="1" x14ac:dyDescent="0.2">
      <c r="N5" s="165" t="s">
        <v>105</v>
      </c>
      <c r="O5" s="166"/>
      <c r="P5" s="165" t="str">
        <f>LEFT($N$5,1)&amp;LEFT($B$2,1)&amp;EnergyBalance!$C$49</f>
        <v>DTD1</v>
      </c>
      <c r="Q5" s="165" t="str">
        <f>LEFT($D$2,6)&amp;" "&amp;$C$2&amp; " Sector - "&amp;EnergyBalance!$N$49</f>
        <v>Demand Transport Sector - Demand 1</v>
      </c>
      <c r="R5" s="165" t="str">
        <f>$E$2</f>
        <v>PJ</v>
      </c>
      <c r="S5" s="165"/>
      <c r="T5" s="165"/>
      <c r="U5" s="165"/>
      <c r="V5" s="165"/>
    </row>
    <row r="6" spans="2:22" x14ac:dyDescent="0.2">
      <c r="N6" s="167" t="s">
        <v>143</v>
      </c>
      <c r="O6" s="167"/>
      <c r="P6" s="167" t="str">
        <f>$B$2&amp;EnergyBalance!$C$52</f>
        <v>TRACO2</v>
      </c>
      <c r="Q6" s="167" t="str">
        <f>$C$2&amp;" "&amp;EnergyBalance!$C$53</f>
        <v>Transport Carbon dioxide</v>
      </c>
      <c r="R6" s="167" t="str">
        <f>EnergyBalance!$S$2</f>
        <v>kt</v>
      </c>
      <c r="S6" s="167"/>
      <c r="T6" s="167"/>
      <c r="U6" s="167"/>
      <c r="V6" s="167"/>
    </row>
    <row r="8" spans="2:22" x14ac:dyDescent="0.2">
      <c r="D8" s="6" t="s">
        <v>13</v>
      </c>
      <c r="E8" s="6"/>
      <c r="F8" s="6"/>
      <c r="H8" s="6"/>
      <c r="I8" s="7"/>
      <c r="J8" s="5"/>
      <c r="K8" s="20"/>
      <c r="N8" s="160" t="s">
        <v>15</v>
      </c>
      <c r="O8" s="160"/>
      <c r="P8" s="167"/>
      <c r="Q8" s="167"/>
      <c r="R8" s="167"/>
      <c r="S8" s="167"/>
      <c r="T8" s="167"/>
      <c r="U8" s="167"/>
      <c r="V8" s="167"/>
    </row>
    <row r="9" spans="2:22" x14ac:dyDescent="0.2">
      <c r="B9" s="24" t="s">
        <v>1</v>
      </c>
      <c r="C9" s="24" t="s">
        <v>5</v>
      </c>
      <c r="D9" s="24" t="s">
        <v>6</v>
      </c>
      <c r="E9" s="107" t="s">
        <v>174</v>
      </c>
      <c r="F9" s="108" t="s">
        <v>108</v>
      </c>
      <c r="G9" s="108" t="s">
        <v>124</v>
      </c>
      <c r="H9" s="108" t="s">
        <v>106</v>
      </c>
      <c r="I9" s="108" t="s">
        <v>107</v>
      </c>
      <c r="J9" s="107" t="s">
        <v>101</v>
      </c>
      <c r="K9" s="107" t="s">
        <v>172</v>
      </c>
      <c r="L9" s="107" t="s">
        <v>129</v>
      </c>
      <c r="N9" s="162" t="s">
        <v>11</v>
      </c>
      <c r="O9" s="163" t="s">
        <v>30</v>
      </c>
      <c r="P9" s="162" t="s">
        <v>1</v>
      </c>
      <c r="Q9" s="162" t="s">
        <v>2</v>
      </c>
      <c r="R9" s="162" t="s">
        <v>16</v>
      </c>
      <c r="S9" s="162" t="s">
        <v>17</v>
      </c>
      <c r="T9" s="162" t="s">
        <v>18</v>
      </c>
      <c r="U9" s="162" t="s">
        <v>19</v>
      </c>
      <c r="V9" s="162" t="s">
        <v>20</v>
      </c>
    </row>
    <row r="10" spans="2:22" ht="23.25" thickBot="1" x14ac:dyDescent="0.25">
      <c r="B10" s="145" t="s">
        <v>42</v>
      </c>
      <c r="C10" s="145" t="s">
        <v>32</v>
      </c>
      <c r="D10" s="145" t="s">
        <v>33</v>
      </c>
      <c r="E10" s="145" t="s">
        <v>34</v>
      </c>
      <c r="F10" s="145" t="s">
        <v>113</v>
      </c>
      <c r="G10" s="146" t="s">
        <v>125</v>
      </c>
      <c r="H10" s="145" t="s">
        <v>122</v>
      </c>
      <c r="I10" s="145" t="s">
        <v>121</v>
      </c>
      <c r="J10" s="145" t="s">
        <v>181</v>
      </c>
      <c r="K10" s="145" t="s">
        <v>179</v>
      </c>
      <c r="L10" s="145" t="s">
        <v>142</v>
      </c>
      <c r="N10" s="164" t="s">
        <v>41</v>
      </c>
      <c r="O10" s="164" t="s">
        <v>31</v>
      </c>
      <c r="P10" s="164" t="s">
        <v>21</v>
      </c>
      <c r="Q10" s="164" t="s">
        <v>22</v>
      </c>
      <c r="R10" s="164" t="s">
        <v>23</v>
      </c>
      <c r="S10" s="164" t="s">
        <v>24</v>
      </c>
      <c r="T10" s="164" t="s">
        <v>46</v>
      </c>
      <c r="U10" s="164" t="s">
        <v>45</v>
      </c>
      <c r="V10" s="164" t="s">
        <v>25</v>
      </c>
    </row>
    <row r="11" spans="2:22" ht="23.25" thickBot="1" x14ac:dyDescent="0.25">
      <c r="B11" s="21" t="s">
        <v>114</v>
      </c>
      <c r="C11" s="21"/>
      <c r="D11" s="21"/>
      <c r="E11" s="19" t="str">
        <f>E2&amp;"a"</f>
        <v>PJa</v>
      </c>
      <c r="F11" s="19"/>
      <c r="G11" s="109"/>
      <c r="H11" s="19" t="str">
        <f>$F$2&amp;"/"&amp;$E$2</f>
        <v>M€2005/PJ</v>
      </c>
      <c r="I11" s="19" t="str">
        <f>$F$2&amp;"/"&amp;$E$2&amp;"a"</f>
        <v>M€2005/PJa</v>
      </c>
      <c r="J11" s="19" t="s">
        <v>115</v>
      </c>
      <c r="K11" s="19" t="s">
        <v>156</v>
      </c>
      <c r="L11" s="19" t="str">
        <f>EnergyBalance!$S$2&amp;"/"&amp;E2</f>
        <v>kt/PJ</v>
      </c>
      <c r="N11" s="166" t="s">
        <v>123</v>
      </c>
      <c r="O11" s="170"/>
      <c r="P11" s="166" t="str">
        <f>LEFT($B$2)&amp;EnergyBalance!$C$44&amp;$I$2&amp;EnergyBalance!F2</f>
        <v>TOTEOIL</v>
      </c>
      <c r="Q11" s="166" t="str">
        <f>$D$2&amp;" "&amp;$C$2&amp; " Sector - "&amp;" "&amp;$I$1&amp;" "&amp;EnergyBalance!$N$40&amp;" - "&amp;EnergyBalance!$F$3</f>
        <v>Demand Technologies Transport Sector -  Existing  - Crude Oil</v>
      </c>
      <c r="R11" s="166" t="str">
        <f>$E$2</f>
        <v>PJ</v>
      </c>
      <c r="S11" s="170" t="str">
        <f>$E$2&amp;"a"</f>
        <v>PJa</v>
      </c>
      <c r="T11" s="166"/>
      <c r="U11" s="166"/>
      <c r="V11" s="166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93">
        <f>EnergyBalance!F20/G12*1.01</f>
        <v>16666.401655555557</v>
      </c>
      <c r="F12" s="97">
        <v>1</v>
      </c>
      <c r="G12" s="97">
        <v>0.9</v>
      </c>
      <c r="H12" s="57"/>
      <c r="I12" s="97">
        <v>0.2</v>
      </c>
      <c r="J12" s="57">
        <v>10</v>
      </c>
      <c r="N12" s="165"/>
      <c r="O12" s="166"/>
      <c r="P12" s="166" t="str">
        <f>LEFT($B$2)&amp;EnergyBalance!$C$44&amp;$J$2&amp;EnergyBalance!F2</f>
        <v>TOTNOIL</v>
      </c>
      <c r="Q12" s="170" t="str">
        <f>$D$2&amp;" "&amp;$C$2&amp; " Sector - "&amp;" "&amp;$J$1&amp;" "&amp;EnergyBalance!$N$40&amp;" - "&amp;EnergyBalance!$F$3</f>
        <v>Demand Technologies Transport Sector -  New  - Crude Oil</v>
      </c>
      <c r="R12" s="166" t="str">
        <f>$E$2</f>
        <v>PJ</v>
      </c>
      <c r="S12" s="166" t="str">
        <f>$E$2&amp;"a"</f>
        <v>PJa</v>
      </c>
      <c r="T12" s="166"/>
      <c r="U12" s="166"/>
      <c r="V12" s="166"/>
    </row>
    <row r="13" spans="2:22" x14ac:dyDescent="0.2">
      <c r="D13" t="str">
        <f>$P$6</f>
        <v>TRACO2</v>
      </c>
      <c r="E13" s="12"/>
      <c r="F13" s="23"/>
      <c r="G13" s="23"/>
      <c r="I13" s="23"/>
      <c r="L13" s="57">
        <f>65/F12</f>
        <v>65</v>
      </c>
      <c r="N13" s="14"/>
      <c r="O13" s="8"/>
      <c r="P13" s="8"/>
      <c r="Q13" s="103"/>
      <c r="R13" s="8"/>
      <c r="S13" s="8"/>
      <c r="T13" s="8"/>
      <c r="U13" s="8"/>
      <c r="V13" s="8"/>
    </row>
    <row r="14" spans="2:22" x14ac:dyDescent="0.2">
      <c r="B14" s="10" t="str">
        <f>P12</f>
        <v>TOTNOIL</v>
      </c>
      <c r="C14" t="str">
        <f>$B$2&amp;RIGHT(B14,3)</f>
        <v>TRAOIL</v>
      </c>
      <c r="D14" s="10" t="str">
        <f>$P$5</f>
        <v>DTD1</v>
      </c>
      <c r="E14" s="27"/>
      <c r="F14" s="99">
        <v>1.1000000000000001</v>
      </c>
      <c r="G14" s="99">
        <v>0.9</v>
      </c>
      <c r="H14" s="104">
        <v>10</v>
      </c>
      <c r="I14" s="99">
        <f>H14*0.02</f>
        <v>0.2</v>
      </c>
      <c r="J14" s="104">
        <v>15</v>
      </c>
      <c r="K14" s="100">
        <v>2006</v>
      </c>
      <c r="N14" s="8"/>
      <c r="O14" s="8"/>
      <c r="P14" s="8"/>
      <c r="Q14" s="30"/>
      <c r="R14" s="8"/>
      <c r="S14" s="8"/>
      <c r="T14" s="8"/>
      <c r="U14" s="8"/>
      <c r="V14" s="8"/>
    </row>
    <row r="15" spans="2:22" x14ac:dyDescent="0.2">
      <c r="B15" s="10"/>
      <c r="D15" t="str">
        <f>$P$6</f>
        <v>TRACO2</v>
      </c>
      <c r="E15" s="27"/>
      <c r="F15" s="28"/>
      <c r="G15" s="28"/>
      <c r="H15" s="10"/>
      <c r="I15" s="28"/>
      <c r="J15" s="10"/>
      <c r="K15" s="27"/>
      <c r="L15" s="100">
        <f>65/F14</f>
        <v>59.090909090909086</v>
      </c>
      <c r="N15" s="8"/>
      <c r="O15" s="8"/>
      <c r="P15" s="8"/>
      <c r="Q15" s="30"/>
      <c r="R15" s="8"/>
      <c r="S15" s="8"/>
      <c r="T15" s="8"/>
      <c r="U15" s="8"/>
      <c r="V15" s="8"/>
    </row>
    <row r="16" spans="2:22" x14ac:dyDescent="0.2"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I18" s="20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I19" s="20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2"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"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">
      <c r="B23" s="57"/>
      <c r="C23" s="1" t="s">
        <v>166</v>
      </c>
    </row>
    <row r="24" spans="1:22" x14ac:dyDescent="0.2">
      <c r="B24" s="94"/>
      <c r="C24" s="1" t="s">
        <v>167</v>
      </c>
      <c r="K24" s="1"/>
    </row>
    <row r="25" spans="1:22" x14ac:dyDescent="0.2">
      <c r="A25" s="10"/>
      <c r="K25" s="1"/>
      <c r="L25" s="1"/>
      <c r="M25" s="1"/>
    </row>
    <row r="26" spans="1:22" s="10" customFormat="1" x14ac:dyDescent="0.2">
      <c r="A26"/>
      <c r="B26"/>
      <c r="C26"/>
      <c r="D26"/>
      <c r="E26"/>
      <c r="F26"/>
      <c r="G26"/>
      <c r="H26"/>
      <c r="I26"/>
      <c r="J26"/>
      <c r="K26" s="1"/>
      <c r="L26" s="1"/>
      <c r="M26" s="1"/>
      <c r="N26"/>
      <c r="O26"/>
      <c r="P26"/>
      <c r="Q26"/>
      <c r="R26"/>
      <c r="S26"/>
      <c r="T26"/>
      <c r="U26"/>
      <c r="V26"/>
    </row>
    <row r="27" spans="1:22" x14ac:dyDescent="0.2">
      <c r="K27" s="1"/>
      <c r="L27" s="1"/>
      <c r="M27" s="1"/>
    </row>
    <row r="28" spans="1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</vt:lpstr>
      <vt:lpstr>RES&amp;OBJ</vt:lpstr>
      <vt:lpstr>Pri_COA</vt:lpstr>
      <vt:lpstr>Pri_GAS</vt:lpstr>
      <vt:lpstr>Pri_OIL</vt:lpstr>
      <vt:lpstr>Sector_Fuels</vt:lpstr>
      <vt:lpstr>DemTechs_TPS</vt:lpstr>
      <vt:lpstr>DemTechs_RSD</vt:lpstr>
      <vt:lpstr>DemTechs_TRA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2020-06-02T14:54:09Z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986355066299439</vt:lpwstr>
  </property>
</Properties>
</file>